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FrLHcWw7OhEIOpAmiWiNHep1yo/HUH8bi9R5IK1hdV7wQj/ZBAlAfpP6DSWyb/UZxFbcbtDS40+ozLFHaoaKGQ==" workbookSaltValue="pD+VVCSZRdZAA9HI5EhM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C12" i="14"/>
  <c r="K12" i="14" s="1"/>
  <c r="BG10" i="8"/>
  <c r="BE9" i="13"/>
  <c r="AL16" i="11"/>
  <c r="C16" i="6"/>
  <c r="BF9" i="8"/>
  <c r="AB13" i="21"/>
  <c r="R8" i="9"/>
  <c r="R11" i="14" s="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BB19" i="19"/>
  <c r="EL19" i="19"/>
  <c r="U19" i="19"/>
  <c r="AQ19" i="19"/>
  <c r="ER19" i="19"/>
  <c r="AQ19" i="13"/>
  <c r="AO19" i="13"/>
  <c r="AM19" i="13"/>
  <c r="AE19" i="13"/>
  <c r="BE17" i="13"/>
  <c r="I19" i="8"/>
  <c r="BE9" i="8"/>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M15" i="11"/>
  <c r="S12" i="14"/>
  <c r="V12" i="14" s="1"/>
  <c r="AP13" i="21"/>
  <c r="V10" i="21"/>
  <c r="AP13" i="20"/>
  <c r="X12" i="16"/>
  <c r="AA11" i="16"/>
  <c r="X15" i="17"/>
  <c r="X12" i="17"/>
  <c r="AA16" i="16"/>
  <c r="S15" i="14"/>
  <c r="V15" i="14" s="1"/>
  <c r="R16" i="14"/>
  <c r="R10" i="14"/>
  <c r="S10" i="14"/>
  <c r="V10" i="14" s="1"/>
  <c r="X9" i="16"/>
  <c r="X19" i="16" s="1"/>
  <c r="X16" i="20"/>
  <c r="U10" i="21"/>
  <c r="T17" i="20"/>
  <c r="X9" i="17"/>
  <c r="X16" i="17"/>
  <c r="S11" i="14"/>
  <c r="V11" i="14" s="1"/>
  <c r="T11"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21" i="17" s="1"/>
  <c r="BU12" i="17"/>
  <c r="AZ16" i="11"/>
  <c r="X17" i="17"/>
  <c r="P15" i="17"/>
  <c r="P18" i="17" s="1"/>
  <c r="P19" i="17" s="1"/>
  <c r="BL15" i="11"/>
  <c r="BJ10" i="11"/>
  <c r="BH11" i="11"/>
  <c r="S17" i="17"/>
  <c r="BH12" i="16"/>
  <c r="L12" i="2"/>
  <c r="X15" i="16"/>
  <c r="X18" i="16" s="1"/>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P12" i="11"/>
  <c r="AO13" i="17"/>
  <c r="AL13" i="11"/>
  <c r="B13" i="6"/>
  <c r="BK19"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<sst xmlns="http://schemas.openxmlformats.org/spreadsheetml/2006/main" count="2074" uniqueCount="910">
  <si>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</si>
  <si>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</si>
  <si>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</si>
  <si>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</si>
  <si>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</si>
  <si>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</si>
  <si>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</si>
  <si>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</si>
  <si>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</si>
  <si>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</si>
  <si>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</si>
  <si>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</si>
  <si>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</si>
  <si>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</si>
  <si>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</si>
  <si>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</si>
  <si>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</si>
  <si>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</si>
  <si>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</si>
  <si>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</si>
  <si>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</si>
  <si>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</si>
  <si>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</si>
  <si>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</si>
  <si>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</si>
  <si>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</si>
  <si>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</si>
  <si>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</si>
  <si>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</si>
  <si>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</si>
  <si>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</si>
  <si>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</si>
  <si>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</si>
  <si>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</si>
  <si>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</si>
  <si>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</si>
  <si>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</si>
  <si>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</si>
  <si>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</si>
  <si>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</si>
  <si>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</si>
  <si>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</si>
  <si>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</si>
  <si>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</si>
  <si>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</si>
  <si>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</si>
  <si>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</si>
  <si>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</si>
  <si>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</si>
  <si>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</si>
  <si>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</si>
  <si>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</si>
  <si>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</si>
  <si>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</si>
  <si>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</si>
  <si>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</si>
  <si>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</si>
  <si>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</si>
  <si>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</si>
  <si>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</si>
  <si>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</si>
  <si>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</si>
  <si>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</si>
  <si>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</si>
  <si>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</si>
  <si>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</si>
  <si>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</si>
  <si>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</si>
  <si>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</si>
  <si>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</si>
  <si>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</si>
  <si>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</si>
  <si>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</si>
  <si>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</si>
  <si>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</si>
  <si>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</si>
  <si>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</si>
  <si>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</si>
  <si>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</si>
  <si>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</si>
  <si>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</si>
  <si>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</si>
  <si>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</si>
  <si>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</si>
  <si>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</si>
  <si>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</si>
  <si>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</si>
  <si>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</si>
  <si>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</si>
  <si>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</si>
  <si>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</si>
  <si>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</si>
  <si>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</si>
  <si>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</si>
  <si>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</si>
  <si>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</si>
  <si>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</si>
  <si>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</si>
  <si>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</si>
  <si>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</si>
  <si>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</si>
  <si>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</si>
  <si>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</si>
  <si>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</si>
  <si>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</si>
  <si>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</si>
  <si>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</si>
  <si>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</si>
  <si>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</si>
  <si>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</si>
  <si>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</si>
  <si>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</si>
  <si>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</si>
  <si>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</si>
  <si>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</si>
  <si>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</si>
  <si>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</si>
  <si>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</si>
  <si>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</si>
  <si>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</si>
  <si>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</si>
  <si>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</si>
  <si>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</si>
  <si>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</si>
  <si>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</si>
  <si>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</si>
  <si>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</si>
  <si>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</si>
  <si>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</si>
  <si>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</si>
  <si>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</si>
  <si>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</si>
  <si>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</si>
  <si>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</si>
  <si>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</si>
  <si>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</si>
  <si>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</si>
  <si>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</si>
  <si>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</si>
  <si>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</si>
  <si>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</si>
  <si>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</si>
  <si>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</si>
  <si>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</si>
  <si>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</si>
  <si>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</si>
  <si>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</si>
  <si>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</si>
  <si>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</si>
  <si>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</si>
  <si>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</si>
  <si>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</si>
  <si>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</si>
  <si>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</si>
  <si>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</si>
  <si>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</si>
  <si>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</si>
  <si>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</si>
  <si>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</si>
  <si>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</si>
  <si>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</si>
  <si>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</si>
  <si>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</si>
  <si>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</si>
  <si>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</si>
  <si>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</si>
  <si>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</si>
  <si>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</si>
  <si>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</si>
  <si>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</si>
  <si>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</si>
  <si>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</si>
  <si>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</si>
  <si>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</si>
  <si>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</si>
  <si>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</si>
  <si>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</si>
  <si>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</si>
  <si>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</si>
  <si>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</si>
  <si>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</si>
  <si>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</si>
  <si>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</si>
  <si>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</si>
  <si>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</si>
  <si>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</si>
  <si>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</si>
  <si>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</si>
  <si>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</si>
  <si>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</si>
  <si>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</si>
  <si>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</si>
  <si>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</si>
  <si>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</si>
  <si>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</si>
  <si>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</si>
  <si>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</si>
  <si>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</si>
  <si>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</si>
  <si>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</si>
  <si>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</si>
  <si>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</si>
  <si>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</si>
  <si>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</si>
  <si>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</si>
  <si>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</si>
  <si>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</si>
  <si>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</si>
  <si>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</si>
  <si>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</si>
  <si>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</si>
  <si>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</si>
  <si>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</si>
  <si>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</si>
  <si>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</si>
  <si>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</si>
  <si>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</si>
  <si>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</si>
  <si>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</si>
  <si>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</si>
  <si>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</si>
  <si>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</si>
  <si>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</si>
  <si>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</si>
  <si>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</si>
  <si>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</si>
  <si>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</si>
  <si>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</si>
  <si>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</si>
  <si>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</si>
  <si>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</si>
  <si>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</si>
  <si>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</si>
  <si>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</si>
  <si>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</si>
  <si>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</si>
  <si>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</si>
  <si>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</si>
  <si>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</si>
  <si>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</si>
  <si>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</si>
  <si>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</si>
  <si>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</si>
  <si>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</si>
  <si>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</si>
  <si>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</si>
  <si>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</si>
  <si>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</si>
  <si>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</si>
  <si>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</si>
  <si>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</si>
  <si>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</si>
  <si>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</si>
  <si>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</si>
  <si>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</si>
  <si>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</si>
  <si>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</si>
  <si>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</si>
  <si>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</si>
  <si>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</si>
  <si>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</si>
  <si>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</si>
  <si>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</si>
  <si>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</si>
  <si>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</si>
  <si>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</si>
  <si>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</si>
  <si>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</si>
  <si>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</si>
  <si>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</si>
  <si>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</si>
  <si>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</si>
  <si>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</si>
  <si>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</si>
  <si>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</si>
  <si>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</si>
  <si>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</si>
  <si>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</si>
  <si>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</si>
  <si>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</si>
  <si>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</si>
  <si>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</si>
  <si>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</si>
  <si>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</si>
  <si>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</si>
  <si>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</si>
  <si>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</si>
  <si>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</si>
  <si>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</si>
  <si>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</si>
  <si>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</si>
  <si>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</si>
  <si>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</si>
  <si>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</si>
  <si>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</si>
  <si>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</si>
  <si>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</si>
  <si>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</si>
  <si>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</si>
  <si>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</si>
  <si>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</si>
  <si>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</si>
  <si>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</si>
  <si>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</si>
  <si>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</si>
  <si>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</si>
  <si>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</si>
  <si>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</si>
  <si>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</si>
  <si>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</si>
  <si>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</si>
  <si>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</si>
  <si>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</si>
  <si>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</si>
  <si>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</si>
  <si>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</si>
  <si>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</si>
  <si>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</si>
  <si>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</si>
  <si>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</si>
  <si>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</si>
  <si>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</si>
  <si>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</si>
  <si>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</si>
  <si>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</si>
  <si>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</si>
  <si>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</si>
  <si>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</si>
  <si>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</si>
  <si>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</si>
  <si>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</si>
  <si>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</si>
  <si>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</si>
  <si>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</si>
  <si>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</si>
  <si>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</si>
  <si>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</si>
  <si>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</si>
  <si>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</si>
  <si>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</si>
  <si>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</si>
  <si>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</si>
  <si>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</si>
  <si>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</si>
  <si>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</si>
  <si>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</si>
  <si>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</si>
  <si>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</si>
  <si>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</si>
  <si>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</si>
  <si>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</si>
  <si>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</si>
  <si>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</si>
  <si>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</si>
  <si>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</si>
  <si>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</si>
  <si>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</si>
  <si>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</si>
  <si>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</si>
  <si>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</si>
  <si>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</si>
  <si>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</si>
  <si>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</si>
  <si>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</si>
  <si>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</si>
  <si>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</si>
  <si>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</si>
  <si>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</si>
  <si>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</si>
  <si>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</si>
  <si>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</si>
  <si>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</si>
  <si>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</si>
  <si>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</si>
  <si>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</si>
  <si>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</si>
  <si>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</si>
  <si>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</si>
  <si>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</si>
  <si>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</si>
  <si>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</si>
  <si>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</si>
  <si>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</si>
  <si>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</si>
  <si>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</si>
  <si>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</si>
  <si>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</si>
  <si>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</si>
  <si>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</si>
  <si>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</si>
  <si>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</si>
  <si>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</si>
  <si>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</si>
  <si>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</si>
  <si>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</si>
  <si>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</si>
  <si>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</si>
  <si>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</si>
  <si>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</si>
  <si>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</si>
  <si>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</si>
  <si>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</si>
  <si>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</si>
  <si>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</si>
  <si>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</si>
  <si>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</si>
  <si>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</si>
  <si>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</si>
  <si>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</si>
  <si>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</si>
  <si>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</si>
  <si>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</si>
  <si>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</si>
  <si>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</si>
  <si>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</si>
  <si>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</si>
  <si>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</si>
  <si>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</si>
  <si>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</si>
  <si>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</si>
  <si>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</si>
  <si>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</si>
  <si>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</si>
  <si>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</si>
  <si>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</si>
  <si>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</si>
  <si>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</si>
  <si>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</si>
  <si>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</si>
  <si>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</si>
  <si>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</si>
  <si>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</si>
  <si>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</si>
  <si>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</si>
  <si>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</si>
  <si>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</si>
  <si>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</si>
  <si>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</si>
  <si>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</si>
  <si>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</si>
  <si>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</si>
  <si>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</si>
  <si>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</si>
  <si>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</si>
  <si>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</si>
  <si>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</si>
  <si>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</si>
  <si>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</si>
  <si>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</si>
  <si>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</si>
  <si>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</si>
  <si>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</si>
  <si>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</si>
  <si>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</si>
  <si>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</si>
  <si>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</si>
  <si>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</si>
  <si>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</si>
  <si>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</si>
  <si>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</si>
  <si>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</si>
  <si>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</si>
  <si>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</si>
  <si>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</si>
  <si>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</si>
  <si>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</si>
  <si>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</si>
  <si>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</si>
  <si>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</si>
  <si>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</si>
  <si>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</si>
  <si>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</si>
  <si>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</si>
  <si>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</si>
  <si>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</si>
  <si>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</si>
  <si>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</si>
  <si>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</si>
  <si>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</si>
  <si>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</si>
  <si>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</si>
  <si>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</si>
  <si>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</si>
  <si>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</si>
  <si>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</si>
  <si>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</si>
  <si>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</si>
  <si>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</si>
  <si>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</si>
  <si>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</si>
  <si>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</si>
  <si>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</si>
  <si>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</si>
  <si>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</si>
  <si>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</si>
  <si>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</si>
  <si>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</si>
  <si>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</si>
  <si>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</si>
  <si>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</si>
  <si>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</si>
  <si>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</si>
  <si>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</si>
  <si>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</si>
  <si>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</si>
  <si>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</si>
  <si>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</si>
  <si>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</si>
  <si>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</si>
  <si>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</si>
  <si>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</si>
  <si>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</si>
  <si>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</si>
  <si>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</si>
  <si>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</si>
  <si>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</si>
  <si>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</si>
  <si>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</si>
  <si>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</si>
  <si>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</si>
  <si>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</si>
  <si>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</si>
  <si>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</si>
  <si>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</si>
  <si>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</si>
  <si>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</si>
  <si>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</si>
  <si>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</si>
  <si>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</si>
  <si>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</si>
  <si>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</si>
  <si>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</si>
  <si>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</si>
  <si>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</si>
  <si>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</si>
  <si>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</si>
  <si>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</si>
  <si>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</si>
  <si>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</si>
  <si>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</si>
  <si>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</si>
  <si>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</si>
  <si>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</si>
  <si>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</si>
  <si>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</si>
  <si>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</si>
  <si>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</si>
  <si>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</si>
  <si>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</si>
  <si>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</si>
  <si>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</si>
  <si>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</si>
  <si>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</si>
  <si>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</si>
  <si>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</si>
  <si>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</si>
  <si>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</si>
  <si>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</si>
  <si>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</si>
  <si>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</si>
  <si>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</si>
  <si>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</si>
  <si>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</si>
  <si>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</si>
  <si>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</si>
  <si>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</si>
  <si>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</si>
  <si>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</si>
  <si>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</si>
  <si>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</si>
  <si>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</si>
  <si>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</si>
  <si>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</si>
  <si>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</si>
  <si>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</si>
  <si>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</si>
  <si>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</si>
  <si>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</si>
  <si>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</si>
  <si>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</si>
  <si>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</si>
  <si>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</si>
  <si>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</si>
  <si>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</si>
  <si>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</si>
  <si>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</si>
  <si>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</si>
  <si>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</si>
  <si>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</si>
  <si>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</si>
  <si>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</si>
  <si>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</si>
  <si>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</si>
  <si>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</si>
  <si>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</si>
  <si>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</si>
  <si>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</si>
  <si>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</si>
  <si>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</si>
  <si>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</si>
  <si>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</si>
  <si>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</si>
  <si>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</si>
  <si>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</si>
  <si>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</si>
  <si>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</si>
  <si>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</si>
  <si>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</si>
  <si>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</si>
  <si>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</si>
  <si>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</si>
  <si>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</si>
  <si>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</si>
  <si>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</si>
  <si>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</si>
  <si>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</si>
  <si>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</si>
  <si>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</si>
  <si>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</si>
  <si>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</si>
  <si>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</si>
  <si>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</si>
  <si>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</si>
  <si>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</si>
  <si>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</si>
  <si>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</si>
  <si>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</si>
  <si>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</si>
  <si>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</si>
  <si>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</si>
  <si>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</si>
  <si>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</si>
  <si>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</si>
  <si>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</si>
  <si>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</si>
  <si>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</si>
  <si>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</si>
  <si>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</si>
  <si>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</si>
  <si>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</si>
  <si>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</si>
  <si>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</si>
  <si>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</si>
  <si>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</si>
  <si>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</si>
  <si>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</si>
  <si>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</si>
  <si>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</si>
  <si>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</si>
  <si>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</si>
  <si>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</si>
  <si>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</si>
  <si>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</si>
  <si>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</si>
  <si>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</si>
  <si>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</si>
  <si>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</si>
  <si>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</si>
  <si>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</si>
  <si>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</si>
  <si>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</si>
  <si>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</si>
  <si>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</si>
  <si>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</si>
  <si>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</si>
  <si>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</si>
  <si>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</si>
  <si>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</si>
  <si>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</si>
  <si>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</si>
  <si>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</si>
  <si>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</si>
  <si>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</si>
  <si>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</si>
  <si>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</si>
  <si>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</si>
  <si>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</si>
  <si>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</si>
  <si>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</si>
  <si>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</si>
  <si>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</si>
  <si>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</si>
  <si>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</si>
  <si>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</si>
  <si>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</si>
  <si>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</si>
  <si>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</si>
  <si>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</si>
  <si>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</si>
  <si>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</si>
  <si>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</si>
  <si>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</si>
  <si>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</si>
  <si>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</si>
  <si>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</si>
  <si>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</si>
  <si>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</si>
  <si>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</si>
  <si>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</si>
  <si>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</si>
  <si>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</si>
  <si>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</si>
  <si>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</si>
  <si>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</si>
  <si>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</si>
  <si>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</si>
  <si>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</si>
  <si>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</si>
  <si>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</si>
  <si>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</si>
  <si>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</si>
  <si>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</si>
  <si>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</si>
  <si>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</si>
  <si>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</si>
  <si>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</si>
  <si>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</si>
  <si>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</si>
  <si>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</si>
  <si>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</si>
  <si>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</si>
  <si>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</si>
  <si>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</si>
  <si>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</si>
  <si>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</si>
  <si>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</si>
  <si>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</si>
  <si>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</si>
  <si>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</si>
  <si>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</si>
  <si>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</si>
  <si>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</si>
  <si>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</si>
  <si>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</si>
  <si>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</si>
  <si>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</si>
  <si>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</si>
  <si>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</si>
  <si>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</si>
  <si>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</si>
  <si>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</si>
  <si>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</si>
  <si>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</si>
  <si>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</si>
  <si>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</si>
  <si>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</si>
  <si>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</si>
  <si>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</si>
  <si>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</si>
  <si>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</si>
  <si>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</si>
  <si>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</si>
  <si>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</si>
  <si>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</si>
  <si>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</si>
  <si>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</si>
  <si>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</si>
  <si>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</si>
  <si>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</si>
  <si>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</si>
  <si>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</si>
  <si>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</si>
  <si>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</si>
  <si>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</si>
  <si>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</si>
  <si>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</si>
  <si>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</si>
  <si>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</si>
  <si>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</si>
  <si>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</si>
  <si>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</si>
  <si>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</si>
  <si>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</si>
  <si>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</si>
  <si>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</si>
  <si>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</si>
  <si>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</si>
  <si>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</si>
  <si>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</si>
  <si>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</si>
  <si>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</si>
  <si>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</si>
  <si>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</si>
  <si>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</si>
  <si>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</si>
  <si>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</si>
  <si>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</si>
  <si>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</si>
  <si>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</si>
  <si>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</si>
  <si>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</si>
  <si>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</si>
  <si>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</si>
  <si>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</si>
  <si>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</si>
  <si>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</si>
  <si>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</si>
  <si>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</si>
  <si>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</si>
  <si>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</si>
  <si>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</si>
  <si>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</si>
  <si>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</si>
  <si>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</si>
  <si>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</si>
  <si>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</si>
  <si>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</si>
  <si>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</si>
  <si>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</si>
  <si>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</si>
  <si>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</si>
  <si>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</si>
  <si>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</si>
  <si>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</si>
  <si>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</si>
  <si>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</si>
  <si>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</si>
  <si>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</si>
  <si>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</si>
  <si>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</si>
  <si>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</si>
  <si>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</si>
  <si>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</si>
  <si>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</si>
  <si>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</si>
  <si>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</si>
  <si>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</si>
  <si>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</si>
  <si>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</si>
  <si>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</si>
  <si>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</si>
  <si>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</si>
  <si>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</si>
  <si>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</si>
  <si>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</si>
  <si>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</si>
  <si>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</si>
  <si>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</si>
  <si>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</si>
  <si>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</si>
  <si>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</si>
  <si>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</si>
  <si>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</si>
  <si>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</si>
  <si>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</si>
  <si>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</si>
  <si>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</si>
  <si>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</si>
  <si>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</si>
  <si>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</si>
  <si>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</si>
  <si>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</si>
  <si>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</si>
  <si>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</si>
  <si>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</si>
  <si>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</si>
  <si>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</si>
  <si>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</si>
  <si>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</si>
  <si>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</si>
  <si>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</si>
  <si>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</si>
  <si>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</si>
  <si>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</si>
  <si>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</si>
  <si>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</si>
  <si>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</si>
  <si>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</si>
  <si>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</si>
  <si>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</si>
  <si>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</si>
  <si>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</si>
  <si>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</si>
  <si>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</si>
  <si>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</si>
  <si>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</si>
  <si>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</si>
  <si>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</si>
  <si>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</si>
  <si>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</si>
  <si>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</si>
  <si>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</si>
  <si>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</si>
  <si>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</si>
  <si>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</si>
  <si>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</si>
  <si>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</si>
  <si>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</si>
  <si>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</si>
  <si>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</si>
  <si>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</si>
  <si>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</si>
  <si>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</si>
  <si>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</si>
  <si>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</si>
  <si>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</si>
  <si>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</si>
  <si>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</si>
  <si>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</si>
  <si>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</si>
  <si>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</si>
  <si>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</si>
  <si>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</si>
  <si>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</si>
  <si>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</si>
  <si>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</si>
  <si>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</si>
  <si>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LEON</t>
  </si>
  <si>
    <t>Resumenes por Partidos Judiciales</t>
  </si>
  <si>
    <t>PONFERRADA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</si>
</sst>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hZ8pmkVDHPgl1RJmC2D6nWZH25kILVDRJKcvwiJAfL6nONQ1m4HNcLJ8eQUXvkl92D79SXT5KhTEe87CYe/Ng==" saltValue="srjbOqjDuYa+fChQOexn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28.452439024390241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8</v>
      </c>
      <c r="F10" s="226">
        <f>IF(ISNUMBER(Datos!K10),Datos!K10," - ")</f>
        <v>6</v>
      </c>
      <c r="G10" s="1034" t="str">
        <f>IF(Datos!E10&lt;&gt;"",Datos!E10,Datos!D10)</f>
        <v>37</v>
      </c>
      <c r="H10" s="227">
        <f>IF(ISNUMBER(Datos!L10),Datos!L10," - ")</f>
        <v>28</v>
      </c>
      <c r="I10" s="1044" t="str">
        <f>IF(ISNUMBER(Datos!AS10/Datos!BM10),Datos!AS10/Datos!BM10," - ")</f>
        <v xml:space="preserve"> - </v>
      </c>
      <c r="J10" s="1045">
        <f>IF(ISNUMBER(Datos!BY10/Datos!CN10),Datos!BY10/Datos!CN10," - ")</f>
        <v>0</v>
      </c>
      <c r="K10" s="230">
        <f t="shared" ref="K10:K12" si="1">IF(ISNUMBER((E10-F10)/C10),(E10-F10)/C10," - ")</f>
        <v>7.6923076923076927E-2</v>
      </c>
      <c r="L10" s="1025">
        <f>IF(ISNUMBER(NºAsuntos!I10/NºAsuntos!G10),(NºAsuntos!I10/NºAsuntos!G10)*11," - ")</f>
        <v>51.333333333333336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30.066666666666666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8</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1892</v>
      </c>
      <c r="D15" s="225">
        <f>IF(ISNUMBER(IF(D_I="SI",Datos!I15,Datos!I15+Datos!AC15)),IF(D_I="SI",Datos!I15,Datos!I15+Datos!AC15)," - ")</f>
        <v>1890</v>
      </c>
      <c r="E15" s="226">
        <f>IF(ISNUMBER(IF(D_I="SI",Datos!J15,Datos!J15+Datos!AD15)),IF(D_I="SI",Datos!J15,Datos!J15+Datos!AD15)," - ")</f>
        <v>1498</v>
      </c>
      <c r="F15" s="226">
        <f>IF(ISNUMBER(IF(D_I="SI",Datos!K15,Datos!K15+Datos!AE15)),IF(D_I="SI",Datos!K15,Datos!K15+Datos!AE15)," - ")</f>
        <v>1309</v>
      </c>
      <c r="G15" s="1034" t="str">
        <f>IF(Datos!E15&lt;&gt;"",Datos!E15,Datos!D15)</f>
        <v>03</v>
      </c>
      <c r="H15" s="227">
        <f>IF(ISNUMBER(IF(D_I="SI",Datos!L15,Datos!L15+Datos!AF15)),IF(D_I="SI",Datos!L15,Datos!L15+Datos!AF15)," - ")</f>
        <v>2081</v>
      </c>
      <c r="I15" s="1044" t="str">
        <f>IF(ISNUMBER(Datos!AS15/Datos!BM15),Datos!AS15/Datos!BM15," - ")</f>
        <v xml:space="preserve"> - </v>
      </c>
      <c r="J15" s="1045">
        <f>IF(ISNUMBER(Datos!BY15/Datos!CN15),Datos!BY15/Datos!CN15," - ")</f>
        <v>0</v>
      </c>
      <c r="K15" s="230">
        <f t="shared" ref="K15:K17" si="3">IF(ISNUMBER((E15-F15)/C15),(E15-F15)/C15," - ")</f>
        <v>9.9894291754756864E-2</v>
      </c>
      <c r="L15" s="1025">
        <f>IF(ISNUMBER(NºAsuntos!I15/NºAsuntos!G15),(NºAsuntos!I15/NºAsuntos!G15)*11," - ")</f>
        <v>17.487394957983195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220</v>
      </c>
      <c r="D16" s="225">
        <f>IF(ISNUMBER(IF(D_I="SI",Datos!I16,Datos!I16+Datos!AC16)),IF(D_I="SI",Datos!I16,Datos!I16+Datos!AC16)," - ")</f>
        <v>215</v>
      </c>
      <c r="E16" s="226">
        <f>IF(ISNUMBER(IF(D_I="SI",Datos!J16,Datos!J16+Datos!AD16)),IF(D_I="SI",Datos!J16,Datos!J16+Datos!AD16)," - ")</f>
        <v>4</v>
      </c>
      <c r="F16" s="226">
        <f>IF(ISNUMBER(IF(D_I="SI",Datos!K16,Datos!K16+Datos!AE16)),IF(D_I="SI",Datos!K16,Datos!K16+Datos!AE16)," - ")</f>
        <v>53</v>
      </c>
      <c r="G16" s="1034" t="str">
        <f>IF(Datos!E16&lt;&gt;"",Datos!E16,Datos!D16)</f>
        <v>04</v>
      </c>
      <c r="H16" s="227">
        <f>IF(ISNUMBER(IF(D_I="SI",Datos!L16,Datos!L16+Datos!AF16)),IF(D_I="SI",Datos!L16,Datos!L16+Datos!AF16)," - ")</f>
        <v>171</v>
      </c>
      <c r="I16" s="1044" t="str">
        <f>IF(ISNUMBER(Datos!AS16/Datos!BM16),Datos!AS16/Datos!BM16," - ")</f>
        <v xml:space="preserve"> - </v>
      </c>
      <c r="J16" s="1045">
        <f>IF(ISNUMBER(Datos!BY16/Datos!CN16),Datos!BY16/Datos!CN16," - ")</f>
        <v>0</v>
      </c>
      <c r="K16" s="230">
        <f t="shared" si="3"/>
        <v>-0.22272727272727272</v>
      </c>
      <c r="L16" s="1025">
        <f>IF(ISNUMBER(NºAsuntos!I16/NºAsuntos!G16),(NºAsuntos!I16/NºAsuntos!G16)*11," - ")</f>
        <v>35.490566037735846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220</v>
      </c>
      <c r="D17" s="225">
        <f>IF(ISNUMBER(IF(D_I="SI",Datos!I17,Datos!I17+Datos!AC17)),IF(D_I="SI",Datos!I17,Datos!I17+Datos!AC17)," - ")</f>
        <v>220</v>
      </c>
      <c r="E17" s="226">
        <f>IF(ISNUMBER(IF(D_I="SI",Datos!J17,Datos!J17+Datos!AD17)),IF(D_I="SI",Datos!J17,Datos!J17+Datos!AD17)," - ")</f>
        <v>126</v>
      </c>
      <c r="F17" s="226">
        <f>IF(ISNUMBER(IF(D_I="SI",Datos!K17,Datos!K17+Datos!AE17)),IF(D_I="SI",Datos!K17,Datos!K17+Datos!AE17)," - ")</f>
        <v>120</v>
      </c>
      <c r="G17" s="1034" t="str">
        <f>IF(Datos!E17&lt;&gt;"",Datos!E17,Datos!D17)</f>
        <v>37</v>
      </c>
      <c r="H17" s="227">
        <f>IF(ISNUMBER(IF(D_I="SI",Datos!L17,Datos!L17+Datos!AF17)),IF(D_I="SI",Datos!L17,Datos!L17+Datos!AF17)," - ")</f>
        <v>226</v>
      </c>
      <c r="I17" s="1044" t="str">
        <f>IF(ISNUMBER(Datos!AS17/Datos!BM17),Datos!AS17/Datos!BM17," - ")</f>
        <v xml:space="preserve"> - </v>
      </c>
      <c r="J17" s="1045" t="str">
        <f>IF(ISNUMBER((Datos!BY17+Datos!BZ17)/Datos!CN17),(Datos!BY17+Datos!BZ17)/Datos!CN17," - ")</f>
        <v xml:space="preserve"> - </v>
      </c>
      <c r="K17" s="230">
        <f t="shared" si="3"/>
        <v>2.7272727272727271E-2</v>
      </c>
      <c r="L17" s="1025">
        <f>IF(ISNUMBER(NºAsuntos!I17/NºAsuntos!G17),(NºAsuntos!I17/NºAsuntos!G17)*11," - ")</f>
        <v>20.716666666666665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2332</v>
      </c>
      <c r="D18" s="1049">
        <f>SUBTOTAL(9,D15:D17)</f>
        <v>2325</v>
      </c>
      <c r="E18" s="1050">
        <f>SUBTOTAL(9,E15:E17)</f>
        <v>1628</v>
      </c>
      <c r="F18" s="1050">
        <f>SUBTOTAL(9,F15:F17)</f>
        <v>1482</v>
      </c>
      <c r="G18" s="1052" t="str">
        <f ca="1">INDIRECT(CONCATENATE("G",ROW()-1))</f>
        <v>37</v>
      </c>
      <c r="H18" s="1053">
        <f ca="1">SUMIF(G$14:G17,G18,H$14:H17)</f>
        <v>226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2358</v>
      </c>
      <c r="D19" s="1071">
        <f>SUBTOTAL(9,D9:D18)</f>
        <v>2351</v>
      </c>
      <c r="E19" s="1072">
        <f>SUBTOTAL(9,E9:E18)</f>
        <v>1636</v>
      </c>
      <c r="F19" s="1072">
        <f>SUBTOTAL(9,F9:F18)</f>
        <v>1488</v>
      </c>
      <c r="G19" s="1073"/>
      <c r="H19" s="1074">
        <f ca="1">SUMIF(B9:B18,"TOTAL",H9:H18)</f>
        <v>226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RN8aCvlFc7WAvqjWnWcY0ubToUCwW6G4Q9mAID8WqeOlgZW8mBQ2fjix10OpXgM8MqTM32WJSIiwT+CPaOwl3A==" saltValue="OXfunpG2l/uTLbCaxCFpp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eJGD1b3iXJUZOraKUvvEnI8mrmr6OL1ChQNH/Up9H9XGQUmNDUF9rel+RXpN+R0vo+KQ32ghD/DVTqivD2aTw==" saltValue="KQwwV4wrvQ1wevVo3/1F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4268</v>
      </c>
      <c r="J9" s="181">
        <v>1505</v>
      </c>
      <c r="K9" s="181">
        <v>1563</v>
      </c>
      <c r="L9" s="181">
        <v>4210</v>
      </c>
      <c r="M9" s="181">
        <v>704</v>
      </c>
      <c r="N9" s="181">
        <v>467</v>
      </c>
      <c r="O9" s="181">
        <v>590</v>
      </c>
      <c r="P9" s="181">
        <v>379</v>
      </c>
      <c r="Q9" s="181">
        <v>115</v>
      </c>
      <c r="R9" s="181">
        <v>4837</v>
      </c>
      <c r="S9" s="181">
        <v>2813</v>
      </c>
      <c r="T9" s="181">
        <v>1614</v>
      </c>
      <c r="U9" s="181">
        <v>1125</v>
      </c>
      <c r="V9" s="181">
        <v>3302</v>
      </c>
      <c r="W9" s="181">
        <v>292</v>
      </c>
      <c r="X9" s="188">
        <v>418</v>
      </c>
      <c r="Y9" s="191">
        <v>32</v>
      </c>
      <c r="Z9" s="181">
        <v>77</v>
      </c>
      <c r="AA9" s="181">
        <v>77</v>
      </c>
      <c r="AB9" s="181">
        <v>32</v>
      </c>
      <c r="AC9" s="181">
        <v>0</v>
      </c>
      <c r="AD9" s="181">
        <v>0</v>
      </c>
      <c r="AE9" s="181">
        <v>0</v>
      </c>
      <c r="AF9" s="188">
        <v>0</v>
      </c>
      <c r="AG9" s="191">
        <v>74</v>
      </c>
      <c r="AH9" s="181">
        <v>104</v>
      </c>
      <c r="AI9" s="181">
        <v>109</v>
      </c>
      <c r="AJ9" s="192">
        <v>69</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2887</v>
      </c>
      <c r="AZ9" s="123">
        <f>IF(ISNUMBER(IF(J_V="SI",T9,T9+AH9)),IF(J_V="SI",T9,T9+AH9)," - ")</f>
        <v>1718</v>
      </c>
      <c r="BA9" s="124">
        <f>IF(ISNUMBER(IF(J_V="SI",U9,U9+AI9)),IF(J_V="SI",U9,U9+AI9)," - ")</f>
        <v>1234</v>
      </c>
      <c r="BB9" s="124">
        <f>IF(ISNUMBER(IF(J_V="SI",V9,V9+AJ9)),IF(J_V="SI",V9,V9+AJ9)," - ")</f>
        <v>3371</v>
      </c>
      <c r="BC9" s="125">
        <f>IF(ISNUMBER(X9),X9," - ")</f>
        <v>418</v>
      </c>
      <c r="BD9" s="126">
        <f>IF(ISNUMBER(BA9/AZ9),BA9/AZ9," - ")</f>
        <v>0.71827706635622812</v>
      </c>
      <c r="BE9" s="127">
        <f>IF(ISNUMBER(BB9/BA9),BB9/BA9, " - ")</f>
        <v>2.7317666126418154</v>
      </c>
      <c r="BF9" s="127">
        <f>IF(ISNUMBER(BC9/BA9),BC9/BA9, " - ")</f>
        <v>0.3387358184764992</v>
      </c>
      <c r="BG9" s="196">
        <f>IF(ISNUMBER((AY9+AZ9)/BA9),(AY9+AZ9)/BA9," - ")</f>
        <v>3.7317666126418154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8</v>
      </c>
      <c r="K10" s="181">
        <v>6</v>
      </c>
      <c r="L10" s="181">
        <v>28</v>
      </c>
      <c r="M10" s="181">
        <v>4</v>
      </c>
      <c r="N10" s="181">
        <v>1</v>
      </c>
      <c r="O10" s="181">
        <v>1</v>
      </c>
      <c r="P10" s="181">
        <v>1</v>
      </c>
      <c r="Q10" s="181">
        <v>0</v>
      </c>
      <c r="R10" s="181">
        <v>48</v>
      </c>
      <c r="S10" s="181">
        <v>24</v>
      </c>
      <c r="T10" s="181">
        <v>8</v>
      </c>
      <c r="U10" s="181">
        <v>12</v>
      </c>
      <c r="V10" s="181">
        <v>20</v>
      </c>
      <c r="W10" s="181">
        <v>5</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24</v>
      </c>
      <c r="AZ10" s="129">
        <f t="shared" si="0"/>
        <v>8</v>
      </c>
      <c r="BA10" s="129">
        <f t="shared" si="0"/>
        <v>12</v>
      </c>
      <c r="BB10" s="129">
        <f t="shared" si="0"/>
        <v>20</v>
      </c>
      <c r="BC10" s="125">
        <f t="shared" si="0"/>
        <v>5</v>
      </c>
      <c r="BD10" s="126">
        <f>IF(ISNUMBER(BA10/AZ10),BA10/AZ10," - ")</f>
        <v>1.5</v>
      </c>
      <c r="BE10" s="127">
        <f>IF(ISNUMBER(BB10/BA10),BB10/BA10, " - ")</f>
        <v>1.6666666666666667</v>
      </c>
      <c r="BF10" s="127">
        <f>IF(ISNUMBER(BC10/BA10),BC10/BA10, " - ")</f>
        <v>0.41666666666666669</v>
      </c>
      <c r="BG10" s="196">
        <f>IF(ISNUMBER((AY10+AZ10)/BA10),(AY10+AZ10)/BA10," - ")</f>
        <v>2.6666666666666665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v>
      </c>
      <c r="J12" s="183">
        <v>8</v>
      </c>
      <c r="K12" s="183">
        <v>10</v>
      </c>
      <c r="L12" s="183">
        <v>41</v>
      </c>
      <c r="M12" s="183">
        <v>0</v>
      </c>
      <c r="N12" s="183">
        <v>6</v>
      </c>
      <c r="O12" s="181">
        <v>32</v>
      </c>
      <c r="P12" s="183">
        <v>0</v>
      </c>
      <c r="Q12" s="183">
        <v>22</v>
      </c>
      <c r="R12" s="183">
        <v>1819</v>
      </c>
      <c r="S12" s="183">
        <v>273</v>
      </c>
      <c r="T12" s="183">
        <v>13</v>
      </c>
      <c r="U12" s="183">
        <v>116</v>
      </c>
      <c r="V12" s="183">
        <v>169</v>
      </c>
      <c r="W12" s="183">
        <v>30</v>
      </c>
      <c r="X12" s="189">
        <v>31</v>
      </c>
      <c r="Y12" s="191">
        <v>0</v>
      </c>
      <c r="Z12" s="181">
        <v>5</v>
      </c>
      <c r="AA12" s="181">
        <v>5</v>
      </c>
      <c r="AB12" s="181">
        <v>0</v>
      </c>
      <c r="AC12" s="183">
        <v>0</v>
      </c>
      <c r="AD12" s="183">
        <v>0</v>
      </c>
      <c r="AE12" s="183">
        <v>0</v>
      </c>
      <c r="AF12" s="189">
        <v>0</v>
      </c>
      <c r="AG12" s="202">
        <v>2</v>
      </c>
      <c r="AH12" s="183">
        <v>2</v>
      </c>
      <c r="AI12" s="183">
        <v>3</v>
      </c>
      <c r="AJ12" s="203">
        <v>1</v>
      </c>
      <c r="AK12" s="182">
        <v>0</v>
      </c>
      <c r="AL12" s="183">
        <v>0</v>
      </c>
      <c r="AM12" s="183">
        <v>0</v>
      </c>
      <c r="AN12" s="189">
        <v>0</v>
      </c>
      <c r="AO12" s="259">
        <v>0</v>
      </c>
      <c r="AP12" s="155">
        <v>0</v>
      </c>
      <c r="AQ12" s="155">
        <v>0</v>
      </c>
      <c r="AR12" s="154">
        <v>0</v>
      </c>
      <c r="AS12" s="340" t="s">
        <v>794</v>
      </c>
      <c r="AT12" s="203"/>
      <c r="AU12" s="202"/>
      <c r="AV12" s="203"/>
      <c r="AW12" s="202"/>
      <c r="AX12" s="203"/>
      <c r="AY12" s="126">
        <f t="shared" si="1"/>
        <v>275</v>
      </c>
      <c r="AZ12" s="127">
        <f t="shared" si="1"/>
        <v>15</v>
      </c>
      <c r="BA12" s="127">
        <f t="shared" si="1"/>
        <v>119</v>
      </c>
      <c r="BB12" s="127">
        <f t="shared" si="1"/>
        <v>170</v>
      </c>
      <c r="BC12" s="125">
        <f>IF(ISNUMBER(X12),X12," - ")</f>
        <v>31</v>
      </c>
      <c r="BD12" s="126">
        <f t="shared" si="2"/>
        <v>7.9333333333333336</v>
      </c>
      <c r="BE12" s="127">
        <f t="shared" si="3"/>
        <v>1.4285714285714286</v>
      </c>
      <c r="BF12" s="127">
        <f t="shared" si="4"/>
        <v>0.26050420168067229</v>
      </c>
      <c r="BG12" s="196">
        <f t="shared" si="5"/>
        <v>2.4369747899159662</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4337</v>
      </c>
      <c r="J13" s="184">
        <f t="shared" si="6"/>
        <v>1521</v>
      </c>
      <c r="K13" s="184">
        <f t="shared" si="6"/>
        <v>1579</v>
      </c>
      <c r="L13" s="184">
        <f t="shared" si="6"/>
        <v>4279</v>
      </c>
      <c r="M13" s="184">
        <f t="shared" si="6"/>
        <v>708</v>
      </c>
      <c r="N13" s="184">
        <f t="shared" si="6"/>
        <v>474</v>
      </c>
      <c r="O13" s="184">
        <f t="shared" si="6"/>
        <v>623</v>
      </c>
      <c r="P13" s="184">
        <f t="shared" si="6"/>
        <v>380</v>
      </c>
      <c r="Q13" s="184">
        <f t="shared" si="6"/>
        <v>137</v>
      </c>
      <c r="R13" s="184">
        <f t="shared" si="6"/>
        <v>6704</v>
      </c>
      <c r="S13" s="184">
        <f t="shared" si="6"/>
        <v>3110</v>
      </c>
      <c r="T13" s="184">
        <f t="shared" si="6"/>
        <v>1635</v>
      </c>
      <c r="U13" s="184">
        <f t="shared" si="6"/>
        <v>1253</v>
      </c>
      <c r="V13" s="184">
        <f t="shared" si="6"/>
        <v>3491</v>
      </c>
      <c r="W13" s="184">
        <f t="shared" si="6"/>
        <v>327</v>
      </c>
      <c r="X13" s="184">
        <f t="shared" si="6"/>
        <v>452</v>
      </c>
      <c r="Y13" s="184">
        <f t="shared" si="6"/>
        <v>32</v>
      </c>
      <c r="Z13" s="184">
        <f t="shared" si="6"/>
        <v>82</v>
      </c>
      <c r="AA13" s="184">
        <f t="shared" si="6"/>
        <v>82</v>
      </c>
      <c r="AB13" s="184">
        <f t="shared" si="6"/>
        <v>32</v>
      </c>
      <c r="AC13" s="184">
        <f t="shared" si="6"/>
        <v>0</v>
      </c>
      <c r="AD13" s="184">
        <f t="shared" si="6"/>
        <v>0</v>
      </c>
      <c r="AE13" s="184">
        <f t="shared" si="6"/>
        <v>0</v>
      </c>
      <c r="AF13" s="184">
        <f>SUBTOTAL(9,AF9:AF12)</f>
        <v>0</v>
      </c>
      <c r="AG13" s="184">
        <f t="shared" ref="AG13:AT13" si="7">SUBTOTAL(9,AG8:AG12)</f>
        <v>76</v>
      </c>
      <c r="AH13" s="184">
        <f t="shared" si="7"/>
        <v>106</v>
      </c>
      <c r="AI13" s="184">
        <f t="shared" si="7"/>
        <v>112</v>
      </c>
      <c r="AJ13" s="184">
        <f t="shared" si="7"/>
        <v>70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3186</v>
      </c>
      <c r="AZ13" s="184">
        <f>SUBTOTAL(9,AZ8:AZ12)</f>
        <v>1741</v>
      </c>
      <c r="BA13" s="184">
        <f>SUBTOTAL(9,BA8:BA12)</f>
        <v>1365</v>
      </c>
      <c r="BB13" s="184">
        <f>SUBTOTAL(9,BB8:BB12)</f>
        <v>3561</v>
      </c>
      <c r="BC13" s="184">
        <f>SUBTOTAL(9,BC8:BC12)</f>
        <v>454</v>
      </c>
      <c r="BD13" s="205">
        <f>IF(ISNUMBER(BA13/AZ13),BA13/AZ13," - ")</f>
        <v>0.78403216542217113</v>
      </c>
      <c r="BE13" s="206">
        <f>IF(ISNUMBER(BB13/BA13),BB13/BA13, " - ")</f>
        <v>2.6087912087912088</v>
      </c>
      <c r="BF13" s="206">
        <f>IF(ISNUMBER(BC13/BA13),BC13/BA13, " - ")</f>
        <v>0.33260073260073258</v>
      </c>
      <c r="BG13" s="207">
        <f>IF(ISNUMBER((AY13+AZ13)/BA13),(AY13+AZ13)/BA13," - ")</f>
        <v>3.6095238095238096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1890</v>
      </c>
      <c r="J15" s="183">
        <v>1498</v>
      </c>
      <c r="K15" s="183">
        <v>1309</v>
      </c>
      <c r="L15" s="183">
        <v>2081</v>
      </c>
      <c r="M15" s="183">
        <v>96</v>
      </c>
      <c r="N15" s="183">
        <v>921</v>
      </c>
      <c r="O15" s="181">
        <v>22</v>
      </c>
      <c r="P15" s="183">
        <v>27</v>
      </c>
      <c r="Q15" s="183">
        <v>22</v>
      </c>
      <c r="R15" s="183">
        <v>244</v>
      </c>
      <c r="S15" s="183">
        <v>1317</v>
      </c>
      <c r="T15" s="183">
        <v>1359</v>
      </c>
      <c r="U15" s="183">
        <v>1040</v>
      </c>
      <c r="V15" s="183">
        <v>1674</v>
      </c>
      <c r="W15" s="183">
        <v>96</v>
      </c>
      <c r="X15" s="189">
        <v>808</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1317</v>
      </c>
      <c r="AZ15" s="129">
        <f t="shared" si="9"/>
        <v>1359</v>
      </c>
      <c r="BA15" s="129">
        <f t="shared" si="9"/>
        <v>1040</v>
      </c>
      <c r="BB15" s="129">
        <f t="shared" si="9"/>
        <v>1674</v>
      </c>
      <c r="BC15" s="125">
        <f>IF(ISNUMBER(W15),W15," - ")</f>
        <v>96</v>
      </c>
      <c r="BD15" s="126">
        <f>IF(ISNUMBER(BA15/AZ15),BA15/AZ15," - ")</f>
        <v>0.76526857983811625</v>
      </c>
      <c r="BE15" s="127">
        <f>IF(ISNUMBER(BB15/BA15),BB15/BA15, " - ")</f>
        <v>1.6096153846153847</v>
      </c>
      <c r="BF15" s="127">
        <f>IF(ISNUMBER(BC15/BA15),BC15/BA15, " - ")</f>
        <v>9.2307692307692313E-2</v>
      </c>
      <c r="BG15" s="196">
        <f t="shared" ref="BG15:BG16" si="10">IF(ISNUMBER((AY15+AZ15)/BA15),(AY15+AZ15)/BA15," - ")</f>
        <v>2.5730769230769233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215</v>
      </c>
      <c r="J16" s="183">
        <v>4</v>
      </c>
      <c r="K16" s="183">
        <v>53</v>
      </c>
      <c r="L16" s="183">
        <v>171</v>
      </c>
      <c r="M16" s="183">
        <v>0</v>
      </c>
      <c r="N16" s="183">
        <v>13</v>
      </c>
      <c r="O16" s="181">
        <v>0</v>
      </c>
      <c r="P16" s="183">
        <v>0</v>
      </c>
      <c r="Q16" s="183">
        <v>0</v>
      </c>
      <c r="R16" s="183">
        <v>0</v>
      </c>
      <c r="S16" s="183">
        <v>438</v>
      </c>
      <c r="T16" s="183">
        <v>47</v>
      </c>
      <c r="U16" s="183">
        <v>113</v>
      </c>
      <c r="V16" s="183">
        <v>372</v>
      </c>
      <c r="W16" s="183">
        <v>26</v>
      </c>
      <c r="X16" s="189">
        <v>25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438</v>
      </c>
      <c r="AZ16" s="127">
        <f t="shared" si="9"/>
        <v>47</v>
      </c>
      <c r="BA16" s="127">
        <f t="shared" si="9"/>
        <v>113</v>
      </c>
      <c r="BB16" s="127">
        <f t="shared" si="9"/>
        <v>372</v>
      </c>
      <c r="BC16" s="125">
        <f>IF(ISNUMBER(W16),W16," - ")</f>
        <v>26</v>
      </c>
      <c r="BD16" s="126">
        <f t="shared" ref="BD16" si="11">IF(ISNUMBER(BA16/AZ16),BA16/AZ16," - ")</f>
        <v>2.4042553191489362</v>
      </c>
      <c r="BE16" s="127">
        <f t="shared" ref="BE16" si="12">IF(ISNUMBER(BB16/BA16),BB16/BA16, " - ")</f>
        <v>3.2920353982300883</v>
      </c>
      <c r="BF16" s="127">
        <f t="shared" ref="BF16" si="13">IF(ISNUMBER(BC16/BA16),BC16/BA16, " - ")</f>
        <v>0.23008849557522124</v>
      </c>
      <c r="BG16" s="196">
        <f t="shared" si="10"/>
        <v>4.2920353982300883</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220</v>
      </c>
      <c r="J17" s="183">
        <v>126</v>
      </c>
      <c r="K17" s="183">
        <v>120</v>
      </c>
      <c r="L17" s="183">
        <v>226</v>
      </c>
      <c r="M17" s="183">
        <v>4</v>
      </c>
      <c r="N17" s="183">
        <v>61</v>
      </c>
      <c r="O17" s="183">
        <v>4</v>
      </c>
      <c r="P17" s="183">
        <v>10</v>
      </c>
      <c r="Q17" s="183">
        <v>5</v>
      </c>
      <c r="R17" s="183">
        <v>6</v>
      </c>
      <c r="S17" s="183">
        <v>153</v>
      </c>
      <c r="T17" s="183">
        <v>94</v>
      </c>
      <c r="U17" s="183">
        <v>53</v>
      </c>
      <c r="V17" s="183">
        <v>194</v>
      </c>
      <c r="W17" s="183">
        <v>7</v>
      </c>
      <c r="X17" s="189">
        <v>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153</v>
      </c>
      <c r="AZ17" s="129">
        <f t="shared" si="14"/>
        <v>94</v>
      </c>
      <c r="BA17" s="129">
        <f t="shared" si="14"/>
        <v>53</v>
      </c>
      <c r="BB17" s="129">
        <f t="shared" si="14"/>
        <v>194</v>
      </c>
      <c r="BC17" s="125">
        <f>IF(ISNUMBER(W17),W17," - ")</f>
        <v>7</v>
      </c>
      <c r="BD17" s="126">
        <f>IF(ISNUMBER(BA17/AZ17),BA17/AZ17," - ")</f>
        <v>0.56382978723404253</v>
      </c>
      <c r="BE17" s="127">
        <f>IF(ISNUMBER(BB17/BA17),BB17/BA17, " - ")</f>
        <v>3.6603773584905661</v>
      </c>
      <c r="BF17" s="127">
        <f>IF(ISNUMBER(BC17/BA17),BC17/BA17, " - ")</f>
        <v>0.13207547169811321</v>
      </c>
      <c r="BG17" s="196">
        <f>IF(ISNUMBER((AY17+AZ17)/BA17),(AY17+AZ17)/BA17," - ")</f>
        <v>4.6603773584905657</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2325</v>
      </c>
      <c r="J18" s="184">
        <f t="shared" si="15"/>
        <v>1628</v>
      </c>
      <c r="K18" s="184">
        <f t="shared" si="15"/>
        <v>1482</v>
      </c>
      <c r="L18" s="184">
        <f t="shared" si="15"/>
        <v>2478</v>
      </c>
      <c r="M18" s="184">
        <f t="shared" si="15"/>
        <v>100</v>
      </c>
      <c r="N18" s="184">
        <f t="shared" si="15"/>
        <v>995</v>
      </c>
      <c r="O18" s="184">
        <f t="shared" si="15"/>
        <v>26</v>
      </c>
      <c r="P18" s="184">
        <f t="shared" si="15"/>
        <v>37</v>
      </c>
      <c r="Q18" s="184">
        <f t="shared" si="15"/>
        <v>27</v>
      </c>
      <c r="R18" s="184">
        <f t="shared" si="15"/>
        <v>250</v>
      </c>
      <c r="S18" s="184">
        <f t="shared" si="15"/>
        <v>1908</v>
      </c>
      <c r="T18" s="184">
        <f t="shared" si="15"/>
        <v>1500</v>
      </c>
      <c r="U18" s="184">
        <f t="shared" si="15"/>
        <v>1206</v>
      </c>
      <c r="V18" s="184">
        <f t="shared" si="15"/>
        <v>2240</v>
      </c>
      <c r="W18" s="184">
        <f t="shared" si="15"/>
        <v>129</v>
      </c>
      <c r="X18" s="184">
        <f t="shared" si="15"/>
        <v>897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1908</v>
      </c>
      <c r="AZ18" s="184">
        <f>SUBTOTAL(9,AZ14:AZ17)</f>
        <v>1500</v>
      </c>
      <c r="BA18" s="184">
        <f>SUBTOTAL(9,BA14:BA17)</f>
        <v>1206</v>
      </c>
      <c r="BB18" s="184">
        <f>SUBTOTAL(9,BB14:BB17)</f>
        <v>2240</v>
      </c>
      <c r="BC18" s="184">
        <f>SUBTOTAL(9,BC14:BC17)</f>
        <v>129</v>
      </c>
      <c r="BD18" s="205">
        <f>IF(ISNUMBER(BA18/AZ18),BA18/AZ18," - ")</f>
        <v>0.80400000000000005</v>
      </c>
      <c r="BE18" s="206">
        <f>IF(ISNUMBER(BB18/BA18),BB18/BA18, " - ")</f>
        <v>1.857379767827529</v>
      </c>
      <c r="BF18" s="206">
        <f>IF(ISNUMBER(BC18/BA18),BC18/BA18, " - ")</f>
        <v>0.10696517412935323</v>
      </c>
      <c r="BG18" s="207">
        <f>IF(ISNUMBER((AY18+AZ18)/BA18),(AY18+AZ18)/BA18," - ")</f>
        <v>2.8258706467661692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6662</v>
      </c>
      <c r="J19" s="134">
        <f t="shared" si="18"/>
        <v>3149</v>
      </c>
      <c r="K19" s="134">
        <f t="shared" si="18"/>
        <v>3061</v>
      </c>
      <c r="L19" s="134">
        <f t="shared" si="18"/>
        <v>6757</v>
      </c>
      <c r="M19" s="134">
        <f t="shared" si="18"/>
        <v>808</v>
      </c>
      <c r="N19" s="134">
        <f t="shared" si="18"/>
        <v>1469</v>
      </c>
      <c r="O19" s="134">
        <f t="shared" si="18"/>
        <v>649</v>
      </c>
      <c r="P19" s="134">
        <f t="shared" si="18"/>
        <v>417</v>
      </c>
      <c r="Q19" s="134">
        <f t="shared" si="18"/>
        <v>164</v>
      </c>
      <c r="R19" s="134">
        <f t="shared" si="18"/>
        <v>6954</v>
      </c>
      <c r="S19" s="134">
        <f t="shared" si="18"/>
        <v>5018</v>
      </c>
      <c r="T19" s="134">
        <f t="shared" si="18"/>
        <v>3135</v>
      </c>
      <c r="U19" s="134">
        <f t="shared" si="18"/>
        <v>2459</v>
      </c>
      <c r="V19" s="134">
        <f t="shared" si="18"/>
        <v>5731</v>
      </c>
      <c r="W19" s="134">
        <f t="shared" si="18"/>
        <v>456</v>
      </c>
      <c r="X19" s="134">
        <f t="shared" si="18"/>
        <v>1349</v>
      </c>
      <c r="Y19" s="134">
        <f t="shared" si="18"/>
        <v>32</v>
      </c>
      <c r="Z19" s="134">
        <f t="shared" si="18"/>
        <v>82</v>
      </c>
      <c r="AA19" s="134">
        <f t="shared" si="18"/>
        <v>82</v>
      </c>
      <c r="AB19" s="134">
        <f t="shared" si="18"/>
        <v>32</v>
      </c>
      <c r="AC19" s="134">
        <f t="shared" si="18"/>
        <v>0</v>
      </c>
      <c r="AD19" s="134">
        <f t="shared" si="18"/>
        <v>0</v>
      </c>
      <c r="AE19" s="134">
        <f t="shared" si="18"/>
        <v>0</v>
      </c>
      <c r="AF19" s="134">
        <f t="shared" si="18"/>
        <v>0</v>
      </c>
      <c r="AG19" s="134">
        <f t="shared" si="18"/>
        <v>76</v>
      </c>
      <c r="AH19" s="134">
        <f t="shared" si="18"/>
        <v>106</v>
      </c>
      <c r="AI19" s="134">
        <f t="shared" si="18"/>
        <v>112</v>
      </c>
      <c r="AJ19" s="134">
        <f t="shared" si="18"/>
        <v>70</v>
      </c>
      <c r="AK19" s="134">
        <f t="shared" si="18"/>
        <v>0</v>
      </c>
      <c r="AL19" s="134">
        <f t="shared" si="18"/>
        <v>0</v>
      </c>
      <c r="AM19" s="134">
        <f t="shared" si="18"/>
        <v>0</v>
      </c>
      <c r="AN19" s="210">
        <f t="shared" si="18"/>
        <v>0</v>
      </c>
      <c r="AO19" s="211">
        <v>10</v>
      </c>
      <c r="AP19" s="211">
        <v>9</v>
      </c>
      <c r="AQ19" s="211">
        <v>9</v>
      </c>
      <c r="AR19" s="211">
        <v>9</v>
      </c>
      <c r="AS19" s="153">
        <f t="shared" si="18"/>
        <v>0</v>
      </c>
      <c r="AT19" s="153">
        <f t="shared" si="18"/>
        <v>0</v>
      </c>
      <c r="AU19" s="211"/>
      <c r="AV19" s="212"/>
      <c r="AW19" s="211"/>
      <c r="AX19" s="212"/>
      <c r="AY19" s="133">
        <f>SUBTOTAL(9,AY9:AY18)</f>
        <v>5094</v>
      </c>
      <c r="AZ19" s="134">
        <f>SUBTOTAL(9,AZ9:AZ18)</f>
        <v>3241</v>
      </c>
      <c r="BA19" s="134">
        <f>SUBTOTAL(9,BA9:BA18)</f>
        <v>2571</v>
      </c>
      <c r="BB19" s="134">
        <f>SUBTOTAL(9,BB9:BB18)</f>
        <v>5801</v>
      </c>
      <c r="BC19" s="135">
        <f>SUBTOTAL(9,BC9:BC18)</f>
        <v>583</v>
      </c>
      <c r="BD19" s="213">
        <f>IF(ISNUMBER(BA19/AZ19),BA19/AZ19," - ")</f>
        <v>0.79327368096266582</v>
      </c>
      <c r="BE19" s="210">
        <f>IF(ISNUMBER(BB19/BA19),BB19/BA19, " - ")</f>
        <v>2.2563204978607545</v>
      </c>
      <c r="BF19" s="210">
        <f>IF(ISNUMBER(BC19/BA19),BC19/BA19, " - ")</f>
        <v>0.22676001555814859</v>
      </c>
      <c r="BG19" s="135">
        <f>IF(ISNUMBER((AY19+AZ19)/BA19),(AY19+AZ19)/BA19," - ")</f>
        <v>3.2419292104239594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ifWxvxw/nR188OcBLUhhpqe0EXLJMY9OQMr0ocyDQDgB9w7LC+RcOmlyOuBFs7aQd8ItVvxCUpf9qPi3f8IqQ==" saltValue="CxYJOLNlcboOerEE51irz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R60hyCWZguZ8sICVTu9N09Qu3Shmls19C1tImbT4UE4pSI04v15Eg5izenX/6GKwWVDJqV5lBqzvPfeAq8nOQ==" saltValue="SzRZtymFGRGePzZml5d8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77</v>
      </c>
      <c r="O9" s="334"/>
      <c r="P9" s="334"/>
      <c r="Q9" s="226">
        <f>IF(ISNUMBER(Datos!P9),Datos!P9,0)</f>
        <v>379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32</v>
      </c>
      <c r="AI9" s="334" t="str">
        <f>IF(ISNUMBER(Datos!CD9),Datos!CD9,"-")</f>
        <v>-</v>
      </c>
      <c r="AJ9" s="334" t="str">
        <f>IF(ISNUMBER(Datos!EN9),Datos!EN9," - ")</f>
        <v xml:space="preserve"> - </v>
      </c>
      <c r="AK9" s="334"/>
      <c r="AL9" s="479"/>
      <c r="AM9" s="335">
        <f>IF(ISNUMBER(Datos!R9),Datos!R9," - ")</f>
        <v>4837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704</v>
      </c>
      <c r="BD9" s="229">
        <f>IF(ISNUMBER(Datos!N9),Datos!N9," - ")</f>
        <v>467</v>
      </c>
      <c r="BE9" s="229" t="str">
        <f>IF(ISNUMBER(Datos!BW9),Datos!BW9," - ")</f>
        <v xml:space="preserve"> - </v>
      </c>
      <c r="BF9" s="228" t="str">
        <f>IF(ISNUMBER(Datos!BX9),Datos!BX9," - ")</f>
        <v xml:space="preserve"> - </v>
      </c>
      <c r="BG9" s="243">
        <f>IF(ISNUMBER(IF(J_V="SI",Datos!K9/Datos!J9,(Datos!K9+Datos!AA9)/(Datos!J9+Datos!Z9))),IF(J_V="SI",Datos!K9/Datos!J9,(Datos!K9+Datos!AA9)/(Datos!J9+Datos!Z9))," - ")</f>
        <v>1.0366624525916561</v>
      </c>
      <c r="BH9" s="260">
        <f>IF(ISNUMBER(((IF(J_V="SI",Datos!L9/Datos!K9,(Datos!L9+Datos!AB9)/(Datos!K9+Datos!AA9)))*11)/factor_trimestre),((IF(J_V="SI",Datos!L9/Datos!K9,(Datos!L9+Datos!AB9)/(Datos!K9+Datos!AA9)))*11)/factor_trimestre," - ")</f>
        <v>5.1731707317073168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5.7730155259129674E-2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28</v>
      </c>
      <c r="AG10" s="334"/>
      <c r="AH10" s="334"/>
      <c r="AI10" s="334"/>
      <c r="AJ10" s="334"/>
      <c r="AK10" s="334"/>
      <c r="AL10" s="479"/>
      <c r="AM10" s="335">
        <f>IF(ISNUMBER(Datos!R10),Datos!R10," - ")</f>
        <v>48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9.3333333333333339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2.1276595744680851E-2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1819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1.1538461538461537</v>
      </c>
      <c r="BH12" s="260">
        <f>IF(ISNUMBER(((IF(J_V="SI",Datos!L12/Datos!K12,(Datos!L12+Datos!AB12)/(Datos!K12+Datos!AA12)))*11)/factor_trimestre),((IF(J_V="SI",Datos!L12/Datos!K12,(Datos!L12+Datos!AB12)/(Datos!K12+Datos!AA12)))*11)/factor_trimestre," - ")</f>
        <v>5.4666666666666668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-1.1950027159152634E-2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82</v>
      </c>
      <c r="O13" s="900">
        <f t="shared" si="0"/>
        <v>0</v>
      </c>
      <c r="P13" s="900">
        <f t="shared" si="0"/>
        <v>0</v>
      </c>
      <c r="Q13" s="899">
        <f t="shared" si="0"/>
        <v>380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137</v>
      </c>
      <c r="AD13" s="899">
        <f t="shared" si="1"/>
        <v>0</v>
      </c>
      <c r="AE13" s="899">
        <f t="shared" si="1"/>
        <v>0</v>
      </c>
      <c r="AF13" s="899">
        <f t="shared" si="1"/>
        <v>28</v>
      </c>
      <c r="AG13" s="899">
        <f t="shared" si="1"/>
        <v>0</v>
      </c>
      <c r="AH13" s="899">
        <f t="shared" si="1"/>
        <v>32</v>
      </c>
      <c r="AI13" s="899">
        <f t="shared" si="1"/>
        <v>0</v>
      </c>
      <c r="AJ13" s="899">
        <f t="shared" si="1"/>
        <v>0</v>
      </c>
      <c r="AK13" s="899">
        <f t="shared" si="1"/>
        <v>0</v>
      </c>
      <c r="AL13" s="899">
        <f t="shared" si="1"/>
        <v>0</v>
      </c>
      <c r="AM13" s="899">
        <f t="shared" si="1"/>
        <v>6704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708</v>
      </c>
      <c r="BD13" s="899">
        <f t="shared" si="1"/>
        <v>474</v>
      </c>
      <c r="BE13" s="899">
        <f t="shared" si="1"/>
        <v>0</v>
      </c>
      <c r="BF13" s="899">
        <f t="shared" si="1"/>
        <v>0</v>
      </c>
      <c r="BG13" s="899">
        <f>IF(ISNUMBER(Datos!K13/Datos!J13),Datos!K13/Datos!J13," - ")</f>
        <v>1.0381328073635765</v>
      </c>
      <c r="BH13" s="903">
        <f>IF(ISNUMBER(((Datos!L13/Datos!K13)*11)/factor_trimestre),((Datos!L13/Datos!K13)*11)/factor_trimestre," - ")</f>
        <v>5.4198860037998733</v>
      </c>
      <c r="BI13" s="899">
        <f>IF(ISNUMBER('Resol  Asuntos'!D13/NºAsuntos!G13),'Resol  Asuntos'!D13/NºAsuntos!G13," - ")</f>
        <v>0.42624924744130044</v>
      </c>
      <c r="BJ13" s="899" t="str">
        <f>IF(ISNUMBER(Datos!CI13/Datos!CJ13),Datos!CI13/Datos!CJ13," - ")</f>
        <v xml:space="preserve"> - </v>
      </c>
      <c r="BK13" s="899">
        <f>SUBTOTAL(9,BK8:BK12)</f>
        <v>0</v>
      </c>
      <c r="BL13" s="899">
        <f>IF(ISNUMBER((I13-AB13+L13)/(F13)),(I13-AB13+L13)/(F13)," - ")</f>
        <v>-0.23076923076923078</v>
      </c>
      <c r="BM13" s="904">
        <f>SUBTOTAL(9,BM9:BM12)</f>
        <v>6.7056723844657884E-2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1892</v>
      </c>
      <c r="G15" s="598">
        <f>IF(ISNUMBER(IF(D_I="SI",Datos!I15,Datos!I15+Datos!AC15)),IF(D_I="SI",Datos!I15,Datos!I15+Datos!AC15)," - ")</f>
        <v>1890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1309</v>
      </c>
      <c r="AC15" s="226">
        <f>IF(ISNUMBER(Datos!Q15),Datos!Q15," - ")</f>
        <v>22</v>
      </c>
      <c r="AD15" s="334"/>
      <c r="AE15" s="484"/>
      <c r="AF15" s="596">
        <f>IF(ISNUMBER(IF(D_I="SI",Datos!L15,Datos!L15+Datos!AF15)),IF(D_I="SI",Datos!L15,Datos!L15+Datos!AF15)," - ")</f>
        <v>2081</v>
      </c>
      <c r="AG15" s="334"/>
      <c r="AH15" s="334"/>
      <c r="AI15" s="334"/>
      <c r="AJ15" s="334"/>
      <c r="AK15" s="334"/>
      <c r="AL15" s="479"/>
      <c r="AM15" s="335">
        <f>IF(ISNUMBER(Datos!R15),Datos!R15," - ")</f>
        <v>244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96</v>
      </c>
      <c r="BD15" s="229">
        <f>IF(ISNUMBER(Datos!N15),Datos!N15," - ")</f>
        <v>921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0.87383177570093462</v>
      </c>
      <c r="BH15" s="260">
        <f>IF(ISNUMBER(((IF(D_I="SI",Datos!L15/Datos!K15,(Datos!L15+Datos!AF15)/(Datos!K15+Datos!AE15)))*11)/factor_trimestre),((IF(D_I="SI",Datos!L15/Datos!K15,(Datos!L15+Datos!AF15)/(Datos!K15+Datos!AE15)))*11)/factor_trimestre," - ")</f>
        <v>3.1795263559969444</v>
      </c>
      <c r="BI15" s="243">
        <f>IF(ISNUMBER('Resol  Asuntos'!D15/NºAsuntos!G15),'Resol  Asuntos'!D15/NºAsuntos!G15," - ")</f>
        <v>7.3338426279602756E-2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220</v>
      </c>
      <c r="G16" s="598">
        <f>IF(ISNUMBER(IF(D_I="SI",Datos!I16,Datos!I16+Datos!AC16)),IF(D_I="SI",Datos!I16,Datos!I16+Datos!AC16)," - ")</f>
        <v>215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v>
      </c>
      <c r="AC16" s="226">
        <f>IF(ISNUMBER(Datos!Q16),Datos!Q16," - ")</f>
        <v>0</v>
      </c>
      <c r="AD16" s="334"/>
      <c r="AE16" s="484"/>
      <c r="AF16" s="596">
        <f>IF(ISNUMBER(IF(D_I="SI",Datos!L16,Datos!L16+Datos!AF16)),IF(D_I="SI",Datos!L16,Datos!L16+Datos!AF16)," - ")</f>
        <v>171</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13.25</v>
      </c>
      <c r="BH16" s="260">
        <f>IF(ISNUMBER(((IF(D_I="SI",Datos!L16/Datos!K16,(Datos!L16+Datos!AF16)/(Datos!K16+Datos!AE16)))*11)/factor_trimestre),((IF(D_I="SI",Datos!L16/Datos!K16,(Datos!L16+Datos!AF16)/(Datos!K16+Datos!AE16)))*11)/factor_trimestre," - ")</f>
        <v>6.4528301886792443</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120</v>
      </c>
      <c r="AC17" s="226">
        <f>IF(ISNUMBER(Datos!Q17),Datos!Q17," - ")</f>
        <v>5</v>
      </c>
      <c r="AD17" s="334"/>
      <c r="AE17" s="484"/>
      <c r="AF17" s="332">
        <f>IF(ISNUMBER(Datos!L17),Datos!L17,"-")</f>
        <v>226</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0.95238095238095233</v>
      </c>
      <c r="BH17" s="260">
        <f>IF(ISNUMBER(((IF(D_I="SI",Datos!L17/Datos!K17,(Datos!L17+Datos!AF17)/(Datos!K17+Datos!AE17)))*11)/factor_trimestre),((IF(D_I="SI",Datos!L17/Datos!K17,(Datos!L17+Datos!AF17)/(Datos!K17+Datos!AE17)))*11)/factor_trimestre," - ")</f>
        <v>3.7666666666666662</v>
      </c>
      <c r="BI17" s="243">
        <f>IF(ISNUMBER('Resol  Asuntos'!D17/NºAsuntos!G17),'Resol  Asuntos'!D17/NºAsuntos!G17," - ")</f>
        <v>3.3333333333333333E-2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2112</v>
      </c>
      <c r="G18" s="898">
        <f>SUBTOTAL(9,G15:G17)</f>
        <v>2325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1482</v>
      </c>
      <c r="AC18" s="899">
        <f t="shared" si="4"/>
        <v>27</v>
      </c>
      <c r="AD18" s="899">
        <f t="shared" si="4"/>
        <v>0</v>
      </c>
      <c r="AE18" s="899">
        <f t="shared" si="4"/>
        <v>0</v>
      </c>
      <c r="AF18" s="899">
        <f t="shared" si="4"/>
        <v>2478</v>
      </c>
      <c r="AG18" s="899">
        <f t="shared" si="4"/>
        <v>0</v>
      </c>
      <c r="AH18" s="899">
        <f t="shared" si="4"/>
        <v>0</v>
      </c>
      <c r="AI18" s="899">
        <f t="shared" si="4"/>
        <v>0</v>
      </c>
      <c r="AJ18" s="899">
        <f t="shared" si="4"/>
        <v>0</v>
      </c>
      <c r="AK18" s="899">
        <f t="shared" si="4"/>
        <v>0</v>
      </c>
      <c r="AL18" s="899">
        <f t="shared" si="4"/>
        <v>0</v>
      </c>
      <c r="AM18" s="899">
        <f t="shared" si="4"/>
        <v>250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100</v>
      </c>
      <c r="BD18" s="899">
        <f t="shared" si="4"/>
        <v>995</v>
      </c>
      <c r="BE18" s="899">
        <f t="shared" si="4"/>
        <v>0</v>
      </c>
      <c r="BF18" s="899">
        <f t="shared" si="4"/>
        <v>0</v>
      </c>
      <c r="BG18" s="899">
        <f>IF(ISNUMBER(Datos!K18/Datos!J18),Datos!K18/Datos!J18," - ")</f>
        <v>0.91031941031941033</v>
      </c>
      <c r="BH18" s="903">
        <f>IF(ISNUMBER(((Datos!L18/Datos!K18)*11)/factor_trimestre),((Datos!L18/Datos!K18)*11)/factor_trimestre," - ")</f>
        <v>3.3441295546558703</v>
      </c>
      <c r="BI18" s="899">
        <f>SUBTOTAL(9,BI15:BI17)</f>
        <v>0.1066717596129361</v>
      </c>
      <c r="BJ18" s="899">
        <f>SUBTOTAL(9,BJ15:BJ17)</f>
        <v>0</v>
      </c>
      <c r="BK18" s="899">
        <f>SUBTOTAL(9,BK15:BK17)</f>
        <v>0</v>
      </c>
      <c r="BL18" s="899">
        <f>IF(ISNUMBER((I18-AB18+L18)/(F18)),(I18-AB18+L18)/(F18)," - ")</f>
        <v>-0.70170454545454541</v>
      </c>
      <c r="BM18" s="905">
        <f>IF(ISNUMBER((Datos!P18-Datos!Q18)/(Datos!R18-Datos!P18+Datos!Q18)),(Datos!P18-Datos!Q18)/(Datos!R18-Datos!P18+Datos!Q18)," - ")</f>
        <v>4.1666666666666664E-2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9</v>
      </c>
      <c r="F19" s="820">
        <f t="shared" si="6"/>
        <v>2138</v>
      </c>
      <c r="G19" s="820">
        <f t="shared" si="6"/>
        <v>2351</v>
      </c>
      <c r="H19" s="822">
        <f t="shared" si="6"/>
        <v>0</v>
      </c>
      <c r="I19" s="820">
        <f t="shared" si="6"/>
        <v>0</v>
      </c>
      <c r="J19" s="822">
        <f t="shared" si="6"/>
        <v>0</v>
      </c>
      <c r="K19" s="822">
        <f t="shared" si="6"/>
        <v>0</v>
      </c>
      <c r="L19" s="881">
        <f t="shared" si="6"/>
        <v>0</v>
      </c>
      <c r="M19" s="881">
        <f t="shared" si="6"/>
        <v>0</v>
      </c>
      <c r="N19" s="881">
        <f t="shared" si="6"/>
        <v>82</v>
      </c>
      <c r="O19" s="881">
        <f t="shared" si="6"/>
        <v>0</v>
      </c>
      <c r="P19" s="881">
        <f t="shared" si="6"/>
        <v>0</v>
      </c>
      <c r="Q19" s="822">
        <f t="shared" si="6"/>
        <v>417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1488</v>
      </c>
      <c r="AC19" s="821">
        <f t="shared" si="7"/>
        <v>164</v>
      </c>
      <c r="AD19" s="821">
        <f t="shared" si="7"/>
        <v>0</v>
      </c>
      <c r="AE19" s="821">
        <f t="shared" si="7"/>
        <v>0</v>
      </c>
      <c r="AF19" s="828">
        <f t="shared" si="7"/>
        <v>2506</v>
      </c>
      <c r="AG19" s="828">
        <f t="shared" si="7"/>
        <v>0</v>
      </c>
      <c r="AH19" s="828">
        <f t="shared" si="7"/>
        <v>32</v>
      </c>
      <c r="AI19" s="828">
        <f t="shared" si="7"/>
        <v>0</v>
      </c>
      <c r="AJ19" s="821">
        <f t="shared" si="7"/>
        <v>0</v>
      </c>
      <c r="AK19" s="828">
        <f t="shared" si="7"/>
        <v>0</v>
      </c>
      <c r="AL19" s="828">
        <f t="shared" si="7"/>
        <v>0</v>
      </c>
      <c r="AM19" s="828">
        <f t="shared" si="7"/>
        <v>6954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808</v>
      </c>
      <c r="BD19" s="820">
        <f t="shared" si="7"/>
        <v>1469</v>
      </c>
      <c r="BE19" s="820">
        <f t="shared" si="7"/>
        <v>0</v>
      </c>
      <c r="BF19" s="830">
        <f t="shared" si="7"/>
        <v>0</v>
      </c>
      <c r="BG19" s="915">
        <f>IF(ISNUMBER(Datos!K19/Datos!J19),Datos!K19/Datos!J19," - ")</f>
        <v>0.97205462051444902</v>
      </c>
      <c r="BH19" s="915">
        <f>IF(ISNUMBER(((Datos!L19/Datos!K19)*11)/factor_trimestre),((Datos!L19/Datos!K19)*11)/factor_trimestre," - ")</f>
        <v>4.4148970924534465</v>
      </c>
      <c r="BI19" s="813">
        <f>IF(ISNUMBER(Datos!J19/Datos!I19),Datos!J19/Datos!I19," - ")</f>
        <v>0.47268087661362956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-0.69597754911131904</v>
      </c>
      <c r="BM19" s="889">
        <f>IF(ISNUMBER((Datos!P19-Datos!Q19+R19)/(Datos!R19-Datos!P19+Datos!Q19-R19)),(Datos!P19-Datos!Q19+R19)/(Datos!R19-Datos!P19+Datos!Q19-R19)," - ")</f>
        <v>3.7755558871810174E-2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783.66666666666663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1052.7493528851014</v>
      </c>
      <c r="G21" s="552">
        <f>IF(ISNUMBER(STDEV(G8:G18)),STDEV(G8:G18),"-")</f>
        <v>1038.1619655268955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700.14141428714242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313.8917010690152</v>
      </c>
      <c r="BD21" s="551"/>
      <c r="BE21" s="551">
        <f>IF(ISNUMBER(STDEV(BE8:BE18)),STDEV(BE8:BE18),"-")</f>
        <v>0</v>
      </c>
      <c r="BF21" s="556">
        <f>IF(ISNUMBER(STDEV(BF8:BF18)),STDEV(BF8:BF18),"-")</f>
        <v>0</v>
      </c>
      <c r="BG21" s="775">
        <f>IF(ISNUMBER(STDEV(BG8:BG18)),STDEV(BG8:BG18),"-")</f>
        <v>4.3471176529704918</v>
      </c>
      <c r="BH21" s="776">
        <f>IF(ISNUMBER(STDEV(BH8:BH18)),STDEV(BH8:BH18),"-")</f>
        <v>2.0113706031778023</v>
      </c>
      <c r="BI21" s="249">
        <f>IF(ISNUMBER(STDEV(BI8:BI18)),STDEV(BI8:BI18),"-")</f>
        <v>0.1715671440638338</v>
      </c>
      <c r="BJ21" s="230" t="str">
        <f>IF(ISNUMBER(BL21/BM21),BL21/BM21," - ")</f>
        <v xml:space="preserve"> - </v>
      </c>
      <c r="BK21" s="575"/>
      <c r="BL21" s="559">
        <f>IF(ISNUMBER(STDEV(BL8:BL18)),STDEV(BL8:BL18),"-")</f>
        <v>0.33300155451420671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nBJjkQGV6W2DSrDOx2Bv7whpuzx7lu+2juYa/zBks70X1stDQ1bE0qvPF4mMLZrJ/P87aNPYolUppTYIZk7WNA==" saltValue="TfjQApyyE+qqu9nSC/d/b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PONFERRADA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379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115</v>
      </c>
      <c r="AA9" s="332" t="str">
        <f>IF(ISNUMBER(IF(J_V="SI",Datos!L9,Datos!L9+Datos!AB9)-IF(Monitorios="SI",Datos!CD9,0)),
                          IF(J_V="SI",Datos!L9,Datos!L9+Datos!AB9)-IF(Monitorios="SI",Datos!CD9,0),
                          " - ")</f>
        <v xml:space="preserve"> - </v>
      </c>
      <c r="AB9" s="334"/>
      <c r="AC9" s="334"/>
      <c r="AD9" s="484"/>
      <c r="AE9" s="484">
        <f>IF(ISNUMBER(Datos!R9),Datos!R9," - ")</f>
        <v>4837</v>
      </c>
      <c r="AF9" s="229" t="str">
        <f>IF(ISNUMBER(Datos!BV9),Datos!BV9," - ")</f>
        <v xml:space="preserve"> - </v>
      </c>
      <c r="AG9" s="225" t="str">
        <f>IF(ISNUMBER(Datos!DV9),Datos!DV9," - ")</f>
        <v xml:space="preserve"> - </v>
      </c>
      <c r="AH9" s="298"/>
      <c r="AI9" s="227"/>
      <c r="AJ9" s="225">
        <f>IF(ISNUMBER(Datos!M9),Datos!M9," - ")</f>
        <v>704</v>
      </c>
      <c r="AK9" s="229">
        <f>IF(ISNUMBER(Datos!N9),Datos!N9," - ")</f>
        <v>467</v>
      </c>
      <c r="AL9" s="229" t="str">
        <f>IF(ISNUMBER(Datos!BW9),Datos!BW9," - ")</f>
        <v xml:space="preserve"> - </v>
      </c>
      <c r="AM9" s="228" t="str">
        <f>IF(ISNUMBER(Datos!BX9),Datos!BX9," - ")</f>
        <v xml:space="preserve"> - </v>
      </c>
      <c r="AN9" s="243"/>
      <c r="AO9" s="260">
        <f>IF(ISNUMBER(((NºAsuntos!I9/NºAsuntos!G9)*11)/factor_trimestre),((NºAsuntos!I9/NºAsuntos!G9)*11)/factor_trimestre," - ")</f>
        <v>5.1731707317073168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5.7730155259129674E-2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28</v>
      </c>
      <c r="AB10" s="334"/>
      <c r="AC10" s="334"/>
      <c r="AD10" s="484"/>
      <c r="AE10" s="484">
        <f>IF(ISNUMBER(Datos!R10),Datos!R10," - ")</f>
        <v>48</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9.3333333333333339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2.1276595744680851E-2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1819</v>
      </c>
      <c r="AF12" s="229" t="str">
        <f>IF(ISNUMBER(Datos!BV12),Datos!BV12," - ")</f>
        <v xml:space="preserve"> - </v>
      </c>
      <c r="AG12" s="225" t="str">
        <f>IF(ISNUMBER(Datos!DV12),Datos!DV12," - ")</f>
        <v xml:space="preserve"> - </v>
      </c>
      <c r="AH12" s="298"/>
      <c r="AI12" s="227"/>
      <c r="AJ12" s="225">
        <f>IF(ISNUMBER(Datos!M12),Datos!M12," - ")</f>
        <v>0</v>
      </c>
      <c r="AK12" s="229">
        <f>IF(ISNUMBER(Datos!N12),Datos!N12," - ")</f>
        <v>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5.4666666666666668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-1.1950027159152634E-2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380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137</v>
      </c>
      <c r="AA13" s="900">
        <f t="shared" si="2"/>
        <v>28</v>
      </c>
      <c r="AB13" s="900">
        <f t="shared" si="2"/>
        <v>0</v>
      </c>
      <c r="AC13" s="900">
        <f t="shared" si="2"/>
        <v>0</v>
      </c>
      <c r="AD13" s="900">
        <f t="shared" si="2"/>
        <v>0</v>
      </c>
      <c r="AE13" s="900">
        <f t="shared" si="2"/>
        <v>6704</v>
      </c>
      <c r="AF13" s="908">
        <f t="shared" si="2"/>
        <v>0</v>
      </c>
      <c r="AG13" s="908">
        <f t="shared" si="2"/>
        <v>0</v>
      </c>
      <c r="AH13" s="908">
        <f t="shared" si="2"/>
        <v>0</v>
      </c>
      <c r="AI13" s="908">
        <f t="shared" si="2"/>
        <v>0</v>
      </c>
      <c r="AJ13" s="908">
        <f t="shared" si="2"/>
        <v>708</v>
      </c>
      <c r="AK13" s="908">
        <f t="shared" si="2"/>
        <v>474</v>
      </c>
      <c r="AL13" s="908">
        <f t="shared" si="2"/>
        <v>0</v>
      </c>
      <c r="AM13" s="908">
        <f t="shared" si="2"/>
        <v>0</v>
      </c>
      <c r="AN13" s="908">
        <f t="shared" si="2"/>
        <v>0</v>
      </c>
      <c r="AO13" s="904">
        <f>IF(ISNUMBER(((NºAsuntos!I13/NºAsuntos!G13)*11)/factor_trimestre),((NºAsuntos!I13/NºAsuntos!G13)*11)/factor_trimestre," - ")</f>
        <v>5.190848886213125</v>
      </c>
      <c r="AP13" s="910" t="str">
        <f>IF(ISNUMBER(Datos!CI13/Datos!CJ13),Datos!CI13/Datos!CJ13," - ")</f>
        <v xml:space="preserve"> - </v>
      </c>
      <c r="AQ13" s="928">
        <f t="shared" ref="AQ13:AV13" si="3">SUBTOTAL(9,AQ9:AQ12)</f>
        <v>0</v>
      </c>
      <c r="AR13" s="928">
        <f t="shared" si="3"/>
        <v>6.7056723844657884E-2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1892</v>
      </c>
      <c r="G15" s="225">
        <f>IF(ISNUMBER(IF(D_I="SI",Datos!I15,Datos!I15+Datos!AC15)),IF(D_I="SI",Datos!I15,Datos!I15+Datos!AC15)," - ")</f>
        <v>1890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1309</v>
      </c>
      <c r="Z15" s="619">
        <f>IF(ISNUMBER(Datos!Q15),Datos!Q15," - ")</f>
        <v>22</v>
      </c>
      <c r="AA15" s="332">
        <f>IF(ISNUMBER(IF(D_I="SI",Datos!L15,Datos!L15+Datos!AF15)),IF(D_I="SI",Datos!L15,Datos!L15+Datos!AF15)," - ")</f>
        <v>2081</v>
      </c>
      <c r="AB15" s="334"/>
      <c r="AC15" s="334"/>
      <c r="AD15" s="484"/>
      <c r="AE15" s="484">
        <f>IF(ISNUMBER(Datos!R15),Datos!R15," - ")</f>
        <v>244</v>
      </c>
      <c r="AF15" s="229" t="str">
        <f>IF(ISNUMBER(Datos!BV15),Datos!BV15," - ")</f>
        <v xml:space="preserve"> - </v>
      </c>
      <c r="AG15" s="225"/>
      <c r="AH15" s="298"/>
      <c r="AI15" s="227"/>
      <c r="AJ15" s="225">
        <f>IF(ISNUMBER(Datos!M15),Datos!M15," - ")</f>
        <v>96</v>
      </c>
      <c r="AK15" s="229">
        <f>IF(ISNUMBER(Datos!N15),Datos!N15," - ")</f>
        <v>921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3.1795263559969444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220</v>
      </c>
      <c r="G16" s="225">
        <f>IF(ISNUMBER(IF(D_I="SI",Datos!I16,Datos!I16+Datos!AC16)),IF(D_I="SI",Datos!I16,Datos!I16+Datos!AC16)," - ")</f>
        <v>215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v>
      </c>
      <c r="Z16" s="619">
        <f>IF(ISNUMBER(Datos!Q16),Datos!Q16," - ")</f>
        <v>0</v>
      </c>
      <c r="AA16" s="332">
        <f>IF(ISNUMBER(IF(D_I="SI",Datos!L16,Datos!L16+Datos!AF16)),IF(D_I="SI",Datos!L16,Datos!L16+Datos!AF16)," - ")</f>
        <v>171</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6.4528301886792443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120</v>
      </c>
      <c r="Z17" s="619">
        <f>IF(ISNUMBER(Datos!Q17),Datos!Q17," - ")</f>
        <v>5</v>
      </c>
      <c r="AA17" s="332">
        <f>IF(ISNUMBER(Datos!L17),Datos!L17,"-")</f>
        <v>226</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4</v>
      </c>
      <c r="AK17" s="229">
        <f>IF(ISNUMBER(Datos!N17),Datos!N17," - ")</f>
        <v>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3.7666666666666662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2112</v>
      </c>
      <c r="G18" s="898">
        <f>SUBTOTAL(9,G15:G17)</f>
        <v>2325</v>
      </c>
      <c r="H18" s="932">
        <f>SUBTOTAL(9,H15:H17)</f>
        <v>0</v>
      </c>
      <c r="I18" s="911">
        <f>SUBTOTAL(9,I15:I17)</f>
        <v>0</v>
      </c>
      <c r="J18" s="867">
        <f>SUBTOTAL(9,J14:J17)</f>
        <v>0</v>
      </c>
      <c r="K18" s="932">
        <f t="shared" ref="K18:S18" si="4">SUBTOTAL(9,K15:K17)</f>
        <v>0</v>
      </c>
      <c r="L18" s="932">
        <f t="shared" si="4"/>
        <v>0</v>
      </c>
      <c r="M18" s="932">
        <f t="shared" si="4"/>
        <v>0</v>
      </c>
      <c r="N18" s="932">
        <f t="shared" si="4"/>
        <v>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1482</v>
      </c>
      <c r="Z18" s="932">
        <f t="shared" si="5"/>
        <v>27</v>
      </c>
      <c r="AA18" s="932">
        <f t="shared" si="5"/>
        <v>2478</v>
      </c>
      <c r="AB18" s="932">
        <f t="shared" si="5"/>
        <v>0</v>
      </c>
      <c r="AC18" s="932">
        <f t="shared" si="5"/>
        <v>0</v>
      </c>
      <c r="AD18" s="932">
        <f t="shared" si="5"/>
        <v>0</v>
      </c>
      <c r="AE18" s="932">
        <f t="shared" si="5"/>
        <v>250</v>
      </c>
      <c r="AF18" s="932">
        <f t="shared" si="5"/>
        <v>0</v>
      </c>
      <c r="AG18" s="932">
        <f t="shared" si="5"/>
        <v>0</v>
      </c>
      <c r="AH18" s="932">
        <f t="shared" si="5"/>
        <v>0</v>
      </c>
      <c r="AI18" s="932">
        <f t="shared" si="5"/>
        <v>0</v>
      </c>
      <c r="AJ18" s="932">
        <f t="shared" si="5"/>
        <v>100</v>
      </c>
      <c r="AK18" s="932">
        <f t="shared" si="5"/>
        <v>995</v>
      </c>
      <c r="AL18" s="932">
        <f t="shared" si="5"/>
        <v>0</v>
      </c>
      <c r="AM18" s="932">
        <f t="shared" si="5"/>
        <v>0</v>
      </c>
      <c r="AN18" s="932">
        <f t="shared" si="5"/>
        <v>0</v>
      </c>
      <c r="AO18" s="934">
        <f>IF(ISNUMBER(((NºAsuntos!I18/NºAsuntos!G18)*11)/factor_trimestre),((NºAsuntos!I18/NºAsuntos!G18)*11)/factor_trimestre," - ")</f>
        <v>3.3441295546558703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2138</v>
      </c>
      <c r="G19" s="820">
        <f t="shared" si="7"/>
        <v>2351</v>
      </c>
      <c r="H19" s="821">
        <f t="shared" si="7"/>
        <v>0</v>
      </c>
      <c r="I19" s="820">
        <f t="shared" si="7"/>
        <v>0</v>
      </c>
      <c r="J19" s="822">
        <f t="shared" si="7"/>
        <v>0</v>
      </c>
      <c r="K19" s="820">
        <f t="shared" si="7"/>
        <v>0</v>
      </c>
      <c r="L19" s="823">
        <f t="shared" si="7"/>
        <v>0</v>
      </c>
      <c r="M19" s="820">
        <f t="shared" si="7"/>
        <v>0</v>
      </c>
      <c r="N19" s="821">
        <f t="shared" si="7"/>
        <v>417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1488</v>
      </c>
      <c r="Z19" s="827">
        <f t="shared" si="8"/>
        <v>164</v>
      </c>
      <c r="AA19" s="828">
        <f t="shared" si="8"/>
        <v>2506</v>
      </c>
      <c r="AB19" s="828">
        <f t="shared" si="8"/>
        <v>0</v>
      </c>
      <c r="AC19" s="828">
        <f t="shared" si="8"/>
        <v>0</v>
      </c>
      <c r="AD19" s="829">
        <f t="shared" si="8"/>
        <v>0</v>
      </c>
      <c r="AE19" s="829">
        <f t="shared" si="8"/>
        <v>6954</v>
      </c>
      <c r="AF19" s="830">
        <f t="shared" si="8"/>
        <v>0</v>
      </c>
      <c r="AG19" s="831">
        <f t="shared" si="8"/>
        <v>0</v>
      </c>
      <c r="AH19" s="832">
        <f t="shared" si="8"/>
        <v>0</v>
      </c>
      <c r="AI19" s="830">
        <f t="shared" si="8"/>
        <v>0</v>
      </c>
      <c r="AJ19" s="820">
        <f t="shared" si="8"/>
        <v>808</v>
      </c>
      <c r="AK19" s="820">
        <f t="shared" si="8"/>
        <v>1469</v>
      </c>
      <c r="AL19" s="820">
        <f t="shared" si="8"/>
        <v>0</v>
      </c>
      <c r="AM19" s="833">
        <f t="shared" si="8"/>
        <v>0</v>
      </c>
      <c r="AN19" s="823">
        <f>IF(ISNUMBER(Datos!K19/Datos!J19),Datos!K19/Datos!J19," - ")</f>
        <v>0.97205462051444902</v>
      </c>
      <c r="AO19" s="823">
        <f>IF(ISNUMBER(FIND("06",Criterios!A8,1)),(IF(ISNUMBER(((Datos!R19/Datos!Q19)*11)/factor_trimestre),((Datos!R19/Datos!Q19)*11)/factor_trimestre," - ")),(IF(ISNUMBER(((Datos!L19/Datos!K19)*11)/factor_trimestre),((Datos!L19/Datos!K19)*11)/factor_trimestre," - ")))</f>
        <v>4.4148970924534465</v>
      </c>
      <c r="AP19" s="834" t="str">
        <f>IF(ISNUMBER(Datos!CI19/Datos!CJ19),Datos!CI19/Datos!CJ19," - ")</f>
        <v xml:space="preserve"> - </v>
      </c>
      <c r="AQ19" s="834">
        <f>IF(OR(ISNUMBER(FIND("01",Criterios!A8,1)),ISNUMBER(FIND("02",Criterios!A8,1)),ISNUMBER(FIND("03",Criterios!A8,1)),ISNUMBER(FIND("04",Criterios!A8,1))),(J19-Y19+K19)/(F19-K19),(I19-Y19+K19)/(F19-K19))</f>
        <v>-0.69597754911131904</v>
      </c>
      <c r="AR19" s="834">
        <f>IF(ISNUMBER((Datos!P19-Datos!Q19+O19)/(Datos!R19-Datos!P19+Datos!Q19-O19)),(Datos!P19-Datos!Q19+O19)/(Datos!R19-Datos!P19+Datos!Q19-O19)," - ")</f>
        <v>3.7755558871810174E-2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783.66666666666663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1052.7493528851014</v>
      </c>
      <c r="G21" s="552">
        <f>IF(ISNUMBER(STDEV(G8:G18)),STDEV(G8:G18),"-")</f>
        <v>1038.1619655268955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313.8917010690152</v>
      </c>
      <c r="AK21" s="252"/>
      <c r="AL21" s="252">
        <f>IF(ISNUMBER(STDEV(AL8:AL18)),STDEV(AL8:AL18),"-")</f>
        <v>0</v>
      </c>
      <c r="AM21" s="254">
        <f>IF(ISNUMBER(STDEV(AM8:AM18)),STDEV(AM8:AM18),"-")</f>
        <v>0</v>
      </c>
      <c r="AN21" s="539">
        <f>IF(ISNUMBER(STDEV(AN8:AN18)),STDEV(AN8:AN18),"-")</f>
        <v>0</v>
      </c>
      <c r="AO21" s="540">
        <f>IF(ISNUMBER(STDEV(AO8:AO18)),STDEV(AO8:AO18),"-")</f>
        <v>2.0105138480007381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kwApOFG7te8Vd3gFG27OkQiCG1oPqGq4N0qiEXEP/gUtWEV+MxFFw3Ue+Kq7oETvaIltzWRHygFk1V6kP5vsA==" saltValue="RRkN43pW+XvEZ5xtmlqu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1qcwEe4fc9tz5Aesyfre+Dvvs3hZNb6OGxwqYtE2YfTK0HdWb56fXMS7ZCU6kWumcvx2b9jZrH1SnBpLyvAwA==" saltValue="8vDj1CHGMt2iyLO3zwKV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oA5qZUv6r66jgnshZyIKfhjXgmXChMZzaYZmoXHea9ZITRtpa9N9oIMffhlVKpJEBbXs5cdAAO9lJtvR3niw==" saltValue="KMtcmIK6yWs5i+Pcdr3y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0.42624924744130044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0.30140373334140619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2GAQeMPbTvBdMjNSwNrNpzRi6figB/4ajeR+fN1mkN064ZY0H6nVojCBp1aWJORk9xKk0keu2rnzNSeAMDGXVg==" saltValue="oYiIFYGpsM4zyybT1wdl8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rr89Ziio/3gvgzygHapQ629GFZ1dcx1VLEx+n41j1F/qNJfPGje9XFeYUnIwCC6r1cPRXcw5d8fX4RiMXdL1Wg==" saltValue="uiOQ1THjAfsd1d7c1KUC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PONFERRADA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4300</v>
      </c>
      <c r="D9" s="404">
        <f>IF(ISNUMBER(C9/Datos!BH9),C9/Datos!BH9," - ")</f>
        <v>860</v>
      </c>
      <c r="E9" s="403">
        <f>IF(ISNUMBER(IF(J_V="SI",Datos!J9,Datos!J9+Datos!Z9)),IF(J_V="SI",Datos!J9,Datos!J9+Datos!Z9)," - ")</f>
        <v>1582</v>
      </c>
      <c r="F9" s="404">
        <f>IF(ISNUMBER(E9/B9),E9/B9," - ")</f>
        <v>263.66666666666669</v>
      </c>
      <c r="G9" s="403">
        <f>IF(ISNUMBER(IF(J_V="SI",Datos!K9,Datos!K9+Datos!AA9)),IF(J_V="SI",Datos!K9,Datos!K9+Datos!AA9)," - ")</f>
        <v>1640</v>
      </c>
      <c r="H9" s="404">
        <f>IF(ISNUMBER(G9/B9),G9/B9," - ")</f>
        <v>273.33333333333331</v>
      </c>
      <c r="I9" s="403">
        <f>IF(ISNUMBER(IF(J_V="SI",Datos!L9,Datos!L9+Datos!AB9)),IF(J_V="SI",Datos!L9,Datos!L9+Datos!AB9)," - ")</f>
        <v>4242</v>
      </c>
      <c r="J9" s="404">
        <f>IF(ISNUMBER(I9/B9),I9/B9," - ")</f>
        <v>707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8</v>
      </c>
      <c r="F10" s="404">
        <f>IF(ISNUMBER(E10/B10),E10/B10," - ")</f>
        <v>8</v>
      </c>
      <c r="G10" s="403">
        <f>IF(ISNUMBER(Datos!K10),Datos!K10," - ")</f>
        <v>6</v>
      </c>
      <c r="H10" s="404">
        <f>IF(ISNUMBER(G10/B10),G10/B10," - ")</f>
        <v>6</v>
      </c>
      <c r="I10" s="403">
        <f>IF(ISNUMBER(Datos!L10),Datos!L10," - ")</f>
        <v>28</v>
      </c>
      <c r="J10" s="404">
        <f>IF(ISNUMBER(I10/B10),I10/B10," - ")</f>
        <v>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43</v>
      </c>
      <c r="D12" s="404" t="str">
        <f>IF(ISNUMBER(C12/Datos!BH12),C12/Datos!BH12," - ")</f>
        <v xml:space="preserve"> - </v>
      </c>
      <c r="E12" s="403">
        <f>IF(ISNUMBER(IF(J_V="SI",Datos!J12,Datos!J12+Datos!Z12)),IF(J_V="SI",Datos!J12,Datos!J12+Datos!Z12)," - ")</f>
        <v>13</v>
      </c>
      <c r="F12" s="404" t="str">
        <f>IF(ISNUMBER(E12/B12),E12/B12," - ")</f>
        <v xml:space="preserve"> - </v>
      </c>
      <c r="G12" s="403">
        <f>IF(ISNUMBER(IF(J_V="SI",Datos!K12,Datos!K12+Datos!AA12)),IF(J_V="SI",Datos!K12,Datos!K12+Datos!AA12)," - ")</f>
        <v>15</v>
      </c>
      <c r="H12" s="404" t="str">
        <f>IF(ISNUMBER(G12/B12),G12/B12," - ")</f>
        <v xml:space="preserve"> - </v>
      </c>
      <c r="I12" s="403">
        <f>IF(ISNUMBER(IF(J_V="SI",Datos!L12,Datos!L12+Datos!AB12)),IF(J_V="SI",Datos!L12,Datos!L12+Datos!AB12)," - ")</f>
        <v>41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4369</v>
      </c>
      <c r="D13" s="850" t="str">
        <f>IF(ISNUMBER(C13/Datos!BI13),C13/Datos!BI13," - ")</f>
        <v xml:space="preserve"> - </v>
      </c>
      <c r="E13" s="849">
        <f>SUBTOTAL(9,E8:E12)</f>
        <v>1603</v>
      </c>
      <c r="F13" s="850">
        <f>IF(ISNUMBER(E13/B13),E13/B13," - ")</f>
        <v>267.16666666666669</v>
      </c>
      <c r="G13" s="849">
        <f>SUBTOTAL(9,G8:G12)</f>
        <v>1661</v>
      </c>
      <c r="H13" s="850">
        <f>IF(ISNUMBER(G13/B13),G13/B13," - ")</f>
        <v>276.83333333333331</v>
      </c>
      <c r="I13" s="849">
        <f>SUBTOTAL(9,I8:I12)</f>
        <v>4311</v>
      </c>
      <c r="J13" s="850">
        <f>IF(ISNUMBER(I13/B13),I13/B13," - ")</f>
        <v>718.5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1890</v>
      </c>
      <c r="D15" s="404">
        <f>IF(ISNUMBER(C15/Datos!BH15),C15/Datos!BH15," - ")</f>
        <v>630</v>
      </c>
      <c r="E15" s="403">
        <f>IF(ISNUMBER(IF(D_I="SI",Datos!J15,Datos!J15+Datos!AD15)),IF(D_I="SI",Datos!J15,Datos!J15+Datos!AD15)," - ")</f>
        <v>1498</v>
      </c>
      <c r="F15" s="404">
        <f>IF(ISNUMBER(E15/B15),E15/B15," - ")</f>
        <v>499.33333333333331</v>
      </c>
      <c r="G15" s="403">
        <f>IF(ISNUMBER(IF(D_I="SI",Datos!K15,Datos!K15+Datos!AE15)),IF(D_I="SI",Datos!K15,Datos!K15+Datos!AE15)," - ")</f>
        <v>1309</v>
      </c>
      <c r="H15" s="404">
        <f>IF(ISNUMBER(G15/B15),G15/B15," - ")</f>
        <v>436.33333333333331</v>
      </c>
      <c r="I15" s="403">
        <f>IF(ISNUMBER(IF(D_I="SI",Datos!L15,Datos!L15+Datos!AF15)),IF(D_I="SI",Datos!L15,Datos!L15+Datos!AF15)," - ")</f>
        <v>2081</v>
      </c>
      <c r="J15" s="404">
        <f>IF(ISNUMBER(I15/B15),I15/B15," - ")</f>
        <v>693.66666666666663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215</v>
      </c>
      <c r="D16" s="404" t="str">
        <f>IF(ISNUMBER(C16/Datos!BH16),C16/Datos!BH16," - ")</f>
        <v xml:space="preserve"> - </v>
      </c>
      <c r="E16" s="403">
        <f>IF(ISNUMBER(IF(D_I="SI",Datos!J16,Datos!J16+Datos!AD16)),IF(D_I="SI",Datos!J16,Datos!J16+Datos!AD16)," - ")</f>
        <v>4</v>
      </c>
      <c r="F16" s="404" t="str">
        <f>IF(ISNUMBER(E16/B16),E16/B16," - ")</f>
        <v xml:space="preserve"> - </v>
      </c>
      <c r="G16" s="403">
        <f>IF(ISNUMBER(IF(D_I="SI",Datos!K16,Datos!K16+Datos!AE16)),IF(D_I="SI",Datos!K16,Datos!K16+Datos!AE16)," - ")</f>
        <v>53</v>
      </c>
      <c r="H16" s="404" t="str">
        <f>IF(ISNUMBER(G16/B16),G16/B16," - ")</f>
        <v xml:space="preserve"> - </v>
      </c>
      <c r="I16" s="403">
        <f>IF(ISNUMBER(IF(D_I="SI",Datos!L16,Datos!L16+Datos!AF16)),IF(D_I="SI",Datos!L16,Datos!L16+Datos!AF16)," - ")</f>
        <v>171</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220</v>
      </c>
      <c r="D17" s="404">
        <f>IF(ISNUMBER(C17/Datos!BH17),C17/Datos!BH17," - ")</f>
        <v>220</v>
      </c>
      <c r="E17" s="403">
        <f>IF(ISNUMBER(IF(D_I="SI",Datos!J17,Datos!J17+Datos!AD17)),IF(D_I="SI",Datos!J17,Datos!J17+Datos!AD17)," - ")</f>
        <v>126</v>
      </c>
      <c r="F17" s="404">
        <f>IF(ISNUMBER(E17/B17),E17/B17," - ")</f>
        <v>126</v>
      </c>
      <c r="G17" s="403">
        <f>IF(ISNUMBER(IF(D_I="SI",Datos!K17,Datos!K17+Datos!AE17)),IF(D_I="SI",Datos!K17,Datos!K17+Datos!AE17)," - ")</f>
        <v>120</v>
      </c>
      <c r="H17" s="404">
        <f>IF(ISNUMBER(G17/B17),G17/B17," - ")</f>
        <v>120</v>
      </c>
      <c r="I17" s="403">
        <f>IF(ISNUMBER(IF(D_I="SI",Datos!L17,Datos!L17+Datos!AF17)),IF(D_I="SI",Datos!L17,Datos!L17+Datos!AF17)," - ")</f>
        <v>226</v>
      </c>
      <c r="J17" s="404">
        <f>IF(ISNUMBER(I17/B17),I17/B17," - ")</f>
        <v>226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2325</v>
      </c>
      <c r="D18" s="850" t="str">
        <f>IF(ISNUMBER(C18/Datos!BI18),C18/Datos!BI18," - ")</f>
        <v xml:space="preserve"> - </v>
      </c>
      <c r="E18" s="849">
        <f>SUBTOTAL(9,E14:E17)</f>
        <v>1628</v>
      </c>
      <c r="F18" s="850">
        <f>IF(ISNUMBER(E18/B18),E18/B18," - ")</f>
        <v>542.66666666666663</v>
      </c>
      <c r="G18" s="849">
        <f>SUBTOTAL(9,G14:G17)</f>
        <v>1482</v>
      </c>
      <c r="H18" s="850">
        <f>IF(ISNUMBER(G18/B18),G18/B18," - ")</f>
        <v>494</v>
      </c>
      <c r="I18" s="849">
        <f>SUBTOTAL(9,I14:I17)</f>
        <v>2478</v>
      </c>
      <c r="J18" s="850">
        <f>IF(ISNUMBER(I18/B18),I18/B18," - ")</f>
        <v>826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6694</v>
      </c>
      <c r="D19" s="795" t="str">
        <f>IF(ISNUMBER(C19/Datos!BI19),C19/Datos!BI19," - ")</f>
        <v xml:space="preserve"> - </v>
      </c>
      <c r="E19" s="794">
        <f>SUBTOTAL(9,E9:E18)</f>
        <v>3231</v>
      </c>
      <c r="F19" s="795">
        <f>IF(ISNUMBER(E19/B19),E19/B19," - ")</f>
        <v>359</v>
      </c>
      <c r="G19" s="794">
        <f>SUBTOTAL(9,G9:G18)</f>
        <v>3143</v>
      </c>
      <c r="H19" s="795">
        <f>IF(ISNUMBER(G19/B19),G19/B19," - ")</f>
        <v>349.22222222222223</v>
      </c>
      <c r="I19" s="794">
        <f>SUBTOTAL(9,I9:I18)</f>
        <v>6789</v>
      </c>
      <c r="J19" s="795">
        <f>IF(ISNUMBER(I19/B19),I19/B19," - ")</f>
        <v>754.33333333333337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gevjrlTucG+OVwYEbSuGbxHUOwmtZhRUICCAK8z/sI9R6XgEcDb6QacxA6fqvLHU8X7OGKfN19OPe6VCVLgjg==" saltValue="1V34v9MbfrZA98cms9oBg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PONFERRADA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28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9.3333333333333339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5.4666666666666668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-1.1950027159152634E-2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22</v>
      </c>
      <c r="AE13" s="939">
        <f t="shared" si="1"/>
        <v>0</v>
      </c>
      <c r="AF13" s="939">
        <f t="shared" si="1"/>
        <v>28</v>
      </c>
      <c r="AG13" s="939">
        <f t="shared" si="1"/>
        <v>0</v>
      </c>
      <c r="AH13" s="939">
        <f t="shared" si="1"/>
        <v>1819</v>
      </c>
      <c r="AI13" s="939">
        <f t="shared" si="1"/>
        <v>0</v>
      </c>
      <c r="AJ13" s="939">
        <f t="shared" si="1"/>
        <v>0</v>
      </c>
      <c r="AK13" s="939">
        <f t="shared" si="1"/>
        <v>0</v>
      </c>
      <c r="AL13" s="939">
        <f t="shared" si="1"/>
        <v>4</v>
      </c>
      <c r="AM13" s="939">
        <f t="shared" si="1"/>
        <v>7</v>
      </c>
      <c r="AN13" s="939">
        <f t="shared" si="1"/>
        <v>0</v>
      </c>
      <c r="AO13" s="939">
        <f t="shared" si="1"/>
        <v>0</v>
      </c>
      <c r="AP13" s="944">
        <f>IF(ISNUMBER(((Datos!L13/Datos!K13)*11)/factor_trimestre),((Datos!L13/Datos!K13)*11)/factor_trimestre," - ")</f>
        <v>5.4198860037998733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-0.23076923076923078</v>
      </c>
      <c r="AU13" s="939" t="str">
        <f>IF(ISNUMBER((DatosP!#REF!-DatosP!#REF!+DatosP!#REF!)/(DatosP!#REF!+DatosP!#REF!-DatosP!#REF!-DatosP!#REF!)),(DatosP!#REF!-DatosP!#REF!+DatosP!#REF!)/(DatosP!#REF!+DatosP!#REF!-DatosP!#REF!-DatosP!#REF!)," - ")</f>
        <v xml:space="preserve"> - </v>
      </c>
      <c r="AV13" s="945">
        <f>SUBTOTAL(9,AV9:AV12)</f>
        <v>-1.1950027159152634E-2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3.3441295546558703</v>
      </c>
      <c r="AQ18" s="944">
        <f>IF(ISNUMBER(((Datos!M18/Datos!L18)*11)/factor_trimestre),((Datos!M18/Datos!L18)*11)/factor_trimestre," - ")</f>
        <v>8.0710250201775621E-2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4.1666666666666664E-2</v>
      </c>
      <c r="AW18" s="946">
        <f>IF(ISNUMBER((Datos!Q18-Datos!R18)/(Datos!S18-Datos!Q18+Datos!R18)),(Datos!Q18-Datos!R18)/(Datos!S18-Datos!Q18+Datos!R18)," - ")</f>
        <v>-0.10464570624120131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22</v>
      </c>
      <c r="AE19" s="957">
        <f t="shared" si="5"/>
        <v>0</v>
      </c>
      <c r="AF19" s="958">
        <f t="shared" si="5"/>
        <v>28</v>
      </c>
      <c r="AG19" s="958">
        <f t="shared" si="5"/>
        <v>0</v>
      </c>
      <c r="AH19" s="958">
        <f t="shared" si="5"/>
        <v>1819</v>
      </c>
      <c r="AI19" s="958">
        <f t="shared" si="5"/>
        <v>0</v>
      </c>
      <c r="AJ19" s="959">
        <f t="shared" si="5"/>
        <v>0</v>
      </c>
      <c r="AK19" s="959">
        <f t="shared" si="5"/>
        <v>0</v>
      </c>
      <c r="AL19" s="951">
        <f t="shared" si="5"/>
        <v>4</v>
      </c>
      <c r="AM19" s="951">
        <f t="shared" si="5"/>
        <v>7</v>
      </c>
      <c r="AN19" s="951">
        <f t="shared" si="5"/>
        <v>0</v>
      </c>
      <c r="AO19" s="951">
        <f t="shared" si="5"/>
        <v>0</v>
      </c>
      <c r="AP19" s="951">
        <f>IF(ISNUMBER(((Datos!L19/Datos!K19)*11)/factor_trimestre),((Datos!L19/Datos!K19)*11)/factor_trimestre," - ")</f>
        <v>4.4148970924534465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-0.23076923076923078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3.7755558871810174E-2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2.3094010767585029</v>
      </c>
      <c r="AM21" s="736"/>
      <c r="AN21" s="736">
        <f>IF(ISNUMBER(STDEV(AN8:AN18)),STDEV(AN8:AN18),"-")</f>
        <v>0</v>
      </c>
      <c r="AO21" s="742">
        <f>IF(ISNUMBER(STDEV(AO8:AO18)),STDEV(AO8:AO18),"-")</f>
        <v>0</v>
      </c>
      <c r="AP21" s="779">
        <f>IF(ISNUMBER(STDEV(AP8:AP18)),STDEV(AP8:AP18),"-")</f>
        <v>2.4992142110590221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H1NOZsl8uWYoP6luDliLSZLam31IUaCnnN2zYZ25GSjmQZToayH/vjbwS8usovzBELhHUTTRpnIFcx0WwSTnw==" saltValue="sg465PLZNceZ5wtaiCLG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PONFERRADA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LliMsXcaAVlXWIrDJm4tUNSRcIFqdbfZzaaZc/q9AOSbUHZ9j1MyRqXHI/Z6+svouXD+4ejkL+Rp6FnE+0Po4w==" saltValue="Vc4yJ2S6p/o5/eacg9lUt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PONFERRADA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704</v>
      </c>
      <c r="E9" s="404">
        <f t="shared" ref="E9:E13" si="0">IF(ISNUMBER(D9/B9),D9/B9," - ")</f>
        <v>117.33333333333333</v>
      </c>
      <c r="F9" s="403">
        <f>IF(ISNUMBER(Datos!N9),Datos!N9," - ")</f>
        <v>467</v>
      </c>
      <c r="G9" s="404">
        <f t="shared" ref="G9:G13" si="1">IF(ISNUMBER(F9/B9),F9/B9," - ")</f>
        <v>77.833333333333329</v>
      </c>
      <c r="H9" s="403">
        <f>IF(ISNUMBER(Datos!O9),Datos!O9," - ")</f>
        <v>590</v>
      </c>
      <c r="I9" s="404">
        <f>IF(ISNUMBER(H9/B9),H9/B9," - ")</f>
        <v>98.333333333333329</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6</v>
      </c>
      <c r="G12" s="404" t="str">
        <f t="shared" si="1"/>
        <v xml:space="preserve"> - </v>
      </c>
      <c r="H12" s="403">
        <f>IF(ISNUMBER(Datos!O12),Datos!O12," - ")</f>
        <v>32</v>
      </c>
      <c r="I12" s="404" t="str">
        <f t="shared" si="2"/>
        <v xml:space="preserve"> - </v>
      </c>
      <c r="BZ12" s="1186">
        <f>Datos!EZ12</f>
        <v>0</v>
      </c>
    </row>
    <row r="13" spans="1:78" ht="14.25" thickTop="1" thickBot="1">
      <c r="A13" s="848" t="str">
        <f>Datos!A13</f>
        <v>TOTAL</v>
      </c>
      <c r="B13" s="849">
        <f>Datos!AP13</f>
        <v>6</v>
      </c>
      <c r="C13" s="851">
        <f>Datos!AR13</f>
        <v>6</v>
      </c>
      <c r="D13" s="849">
        <f>SUBTOTAL(9,D9:D12)</f>
        <v>708</v>
      </c>
      <c r="E13" s="850">
        <f t="shared" si="0"/>
        <v>118</v>
      </c>
      <c r="F13" s="849">
        <f>SUBTOTAL(9,F9:F12)</f>
        <v>474</v>
      </c>
      <c r="G13" s="850">
        <f t="shared" si="1"/>
        <v>79</v>
      </c>
      <c r="H13" s="849">
        <f>SUBTOTAL(9,H9:H12)</f>
        <v>623</v>
      </c>
      <c r="I13" s="850">
        <f>IF(ISNUMBER(H13/B13),H13/B13," - ")</f>
        <v>103.83333333333333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96</v>
      </c>
      <c r="E15" s="404">
        <f t="shared" ref="E15:E18" si="3">IF(ISNUMBER(D15/B15),D15/B15," - ")</f>
        <v>32</v>
      </c>
      <c r="F15" s="403">
        <f>IF(ISNUMBER(Datos!N15),Datos!N15," - ")</f>
        <v>921</v>
      </c>
      <c r="G15" s="404">
        <f t="shared" ref="G15:G18" si="4">IF(ISNUMBER(F15/B15),F15/B15," - ")</f>
        <v>307</v>
      </c>
      <c r="H15" s="403">
        <f>IF(ISNUMBER(Datos!O15),Datos!O15," - ")</f>
        <v>22</v>
      </c>
      <c r="I15" s="404">
        <f t="shared" ref="I15:I17" si="5">IF(ISNUMBER(H15/B15),H15/B15," - ")</f>
        <v>7.333333333333333</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13</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61</v>
      </c>
      <c r="G17" s="404">
        <f>IF(ISNUMBER(F17/B17),F17/B17," - ")</f>
        <v>61</v>
      </c>
      <c r="H17" s="403">
        <f>IF(ISNUMBER(Datos!O17),Datos!O17," - ")</f>
        <v>4</v>
      </c>
      <c r="I17" s="404">
        <f t="shared" si="5"/>
        <v>4</v>
      </c>
      <c r="BZ17" s="1186">
        <f>Datos!EZ17</f>
        <v>0</v>
      </c>
    </row>
    <row r="18" spans="1:78" ht="14.25" thickTop="1" thickBot="1">
      <c r="A18" s="848" t="str">
        <f>Datos!A18</f>
        <v>TOTAL</v>
      </c>
      <c r="B18" s="849">
        <f>Datos!AP18</f>
        <v>3</v>
      </c>
      <c r="C18" s="851">
        <f>Datos!AR18</f>
        <v>3</v>
      </c>
      <c r="D18" s="849">
        <f>SUBTOTAL(9,D15:D17)</f>
        <v>100</v>
      </c>
      <c r="E18" s="850">
        <f t="shared" si="3"/>
        <v>33.333333333333336</v>
      </c>
      <c r="F18" s="849">
        <f>SUBTOTAL(9,F15:F17)</f>
        <v>995</v>
      </c>
      <c r="G18" s="850">
        <f t="shared" si="4"/>
        <v>331.66666666666669</v>
      </c>
      <c r="H18" s="849">
        <f>SUBTOTAL(9,H15:H17)</f>
        <v>26</v>
      </c>
      <c r="I18" s="850">
        <f>IF(ISNUMBER(H18/B18),H18/B18," - ")</f>
        <v>8.6666666666666661</v>
      </c>
      <c r="BZ18" s="1186"/>
    </row>
    <row r="19" spans="1:78" ht="14.25" thickTop="1" thickBot="1">
      <c r="A19" s="793" t="str">
        <f>Datos!A19</f>
        <v>TOTAL JURISDICCIONES</v>
      </c>
      <c r="B19" s="794">
        <f>Datos!AP19</f>
        <v>9</v>
      </c>
      <c r="C19" s="794">
        <f>Datos!AR19</f>
        <v>9</v>
      </c>
      <c r="D19" s="794">
        <f>SUBTOTAL(9,D8:D18)</f>
        <v>808</v>
      </c>
      <c r="E19" s="795">
        <f>IF(ISNUMBER(D19/B19),D19/B19," - ")</f>
        <v>89.777777777777771</v>
      </c>
      <c r="F19" s="794">
        <f>SUBTOTAL(9,F8:F18)</f>
        <v>1469</v>
      </c>
      <c r="G19" s="795">
        <f>IF(ISNUMBER(F19/B19),F19/B19," - ")</f>
        <v>163.22222222222223</v>
      </c>
      <c r="H19" s="794">
        <f>SUBTOTAL(9,H8:H18)</f>
        <v>649</v>
      </c>
      <c r="I19" s="795">
        <f>IF(ISNUMBER(H19/B19),H19/B19," - ")</f>
        <v>72.111111111111114</v>
      </c>
    </row>
    <row r="22" spans="1:78">
      <c r="A22" s="391" t="str">
        <f>Criterios!A4</f>
        <v>Fecha Informe: 29 nov. 2024</v>
      </c>
    </row>
    <row r="27" spans="1:78">
      <c r="A27" s="414"/>
    </row>
  </sheetData>
  <sheetProtection algorithmName="SHA-512" hashValue="JZ0+faLxEhy3FvTSrXkbXpvAUi3xq3bGP8ceNUEi5VvW1YWHVV9N9Z1Lg+6pM4umZlamdqGSzzcTEBpPnrdAKg==" saltValue="ZD8mWdsJ19pxFXJotmQGw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PONFERRADA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379</v>
      </c>
      <c r="C9" s="434">
        <f>IF(ISNUMBER(Datos!Q9),Datos!Q9," - ")</f>
        <v>115</v>
      </c>
      <c r="D9" s="408">
        <f>IF(ISNUMBER(Datos!R9),Datos!R9," - ")</f>
        <v>4837</v>
      </c>
    </row>
    <row r="10" spans="1:4">
      <c r="A10" s="402" t="str">
        <f>Datos!A10</f>
        <v>Jdos. Violencia contra la mujer</v>
      </c>
      <c r="B10" s="433">
        <f>IF(ISNUMBER(Datos!P10),Datos!P10," - ")</f>
        <v>1</v>
      </c>
      <c r="C10" s="434">
        <f>IF(ISNUMBER(Datos!Q10),Datos!Q10," - ")</f>
        <v>0</v>
      </c>
      <c r="D10" s="408">
        <f>IF(ISNUMBER(Datos!R10),Datos!R10," - ")</f>
        <v>48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22</v>
      </c>
      <c r="D12" s="408">
        <f>IF(ISNUMBER(Datos!R12),Datos!R12," - ")</f>
        <v>1819</v>
      </c>
    </row>
    <row r="13" spans="1:4" ht="14.25" thickTop="1" thickBot="1">
      <c r="A13" s="848" t="str">
        <f>Datos!A13</f>
        <v>TOTAL</v>
      </c>
      <c r="B13" s="849">
        <f>SUBTOTAL(9,B9:B12)</f>
        <v>380</v>
      </c>
      <c r="C13" s="853">
        <f>SUBTOTAL(9,C9:C12)</f>
        <v>137</v>
      </c>
      <c r="D13" s="851">
        <f>SUBTOTAL(9,D9:D12)</f>
        <v>6704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27</v>
      </c>
      <c r="C15" s="434">
        <f>IF(ISNUMBER(Datos!Q15),Datos!Q15," - ")</f>
        <v>22</v>
      </c>
      <c r="D15" s="408">
        <f>IF(ISNUMBER(Datos!R15),Datos!R15," - ")</f>
        <v>244</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10</v>
      </c>
      <c r="C17" s="434">
        <f>IF(ISNUMBER(Datos!Q17),Datos!Q17," - ")</f>
        <v>5</v>
      </c>
      <c r="D17" s="408">
        <f>IF(ISNUMBER(Datos!R17),Datos!R17," - ")</f>
        <v>6</v>
      </c>
    </row>
    <row r="18" spans="1:4" ht="14.25" thickTop="1" thickBot="1">
      <c r="A18" s="848" t="str">
        <f>Datos!A18</f>
        <v>TOTAL</v>
      </c>
      <c r="B18" s="849">
        <f>SUBTOTAL(9,B15:B17)</f>
        <v>37</v>
      </c>
      <c r="C18" s="853">
        <f>SUBTOTAL(9,C15:C17)</f>
        <v>27</v>
      </c>
      <c r="D18" s="851">
        <f>SUBTOTAL(9,D15:D17)</f>
        <v>250</v>
      </c>
    </row>
    <row r="19" spans="1:4" ht="16.5" customHeight="1" thickTop="1" thickBot="1">
      <c r="A19" s="793" t="str">
        <f>Datos!A19</f>
        <v>TOTAL JURISDICCIONES</v>
      </c>
      <c r="B19" s="798">
        <f>SUBTOTAL(9,B8:B18)</f>
        <v>417</v>
      </c>
      <c r="C19" s="799">
        <f>SUBTOTAL(9,C8:C18)</f>
        <v>164</v>
      </c>
      <c r="D19" s="800">
        <f>SUBTOTAL(9,D8:D18)</f>
        <v>6954</v>
      </c>
    </row>
    <row r="20" spans="1:4" ht="7.5" customHeight="1"/>
    <row r="21" spans="1:4" ht="6" customHeight="1"/>
    <row r="22" spans="1:4">
      <c r="A22" s="391" t="str">
        <f>Criterios!A4</f>
        <v>Fecha Informe: 29 nov. 2024</v>
      </c>
    </row>
    <row r="27" spans="1:4">
      <c r="A27" s="414"/>
    </row>
  </sheetData>
  <sheetProtection algorithmName="SHA-512" hashValue="oBfpsOVlkwOi86bqp7xo9U6T+t4PF1D+UsPfkqKc0yYnIS8foWuIwoXn0hHtdyp2nsXOZxPqdByFN5NUDFFkVg==" saltValue="UlpUpvJ8RXdgGTvq8iMn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PONFERRADA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0.48943540006927605</v>
      </c>
      <c r="C9" s="456">
        <f>IF(ISNUMBER(
   IF(J_V="SI",(Datos!J9-Datos!T9)/Datos!T9,(Datos!J9+Datos!Z9-(Datos!T9+Datos!AH9))/(Datos!T9+Datos!AH9))
     ),IF(J_V="SI",(Datos!J9-Datos!T9)/Datos!T9,(Datos!J9+Datos!Z9-(Datos!T9+Datos!AH9))/(Datos!T9+Datos!AH9))," - ")</f>
        <v>-7.9161816065192084E-2</v>
      </c>
      <c r="D9" s="456">
        <f>IF(ISNUMBER(
   IF(J_V="SI",(Datos!K9-Datos!U9)/Datos!U9,(Datos!K9+Datos!AA9-(Datos!U9+Datos!AI9))/(Datos!U9+Datos!AI9))
     ),IF(J_V="SI",(Datos!K9-Datos!U9)/Datos!U9,(Datos!K9+Datos!AA9-(Datos!U9+Datos!AI9))/(Datos!U9+Datos!AI9))," - ")</f>
        <v>0.32901134521880065</v>
      </c>
      <c r="E9" s="456">
        <f>IF(ISNUMBER(
   IF(J_V="SI",(Datos!L9-Datos!V9)/Datos!V9,(Datos!L9+Datos!AB9-(Datos!V9+Datos!AJ9))/(Datos!V9+Datos!AJ9))
     ),IF(J_V="SI",(Datos!L9-Datos!V9)/Datos!V9,(Datos!L9+Datos!AB9-(Datos!V9+Datos!AJ9))/(Datos!V9+Datos!AJ9))," - ")</f>
        <v>0.25838030258083655</v>
      </c>
      <c r="F9" s="456">
        <f>IF(ISNUMBER((Datos!M9-Datos!W9)/Datos!W9),(Datos!M9-Datos!W9)/Datos!W9," - ")</f>
        <v>1.4109589041095891</v>
      </c>
      <c r="G9" s="457">
        <f>IF(ISNUMBER((Datos!N9-Datos!X9)/Datos!X9),(Datos!N9-Datos!X9)/Datos!X9," - ")</f>
        <v>0.11722488038277512</v>
      </c>
      <c r="H9" s="455">
        <f>IF(ISNUMBER(((NºAsuntos!G9/NºAsuntos!E9)-Datos!BD9)/Datos!BD9),((NºAsuntos!G9/NºAsuntos!E9)-Datos!BD9)/Datos!BD9," - ")</f>
        <v>0.4432626365903285</v>
      </c>
      <c r="I9" s="456">
        <f>IF(ISNUMBER(((NºAsuntos!I9/NºAsuntos!G9)-Datos!BE9)/Datos!BE9),((NºAsuntos!I9/NºAsuntos!G9)-Datos!BE9)/Datos!BE9," - ")</f>
        <v>-5.3145552814175545E-2</v>
      </c>
      <c r="J9" s="461">
        <f>IF(ISNUMBER((('Resol  Asuntos'!D9/NºAsuntos!G9)-Datos!BF9)/Datos!BF9),(('Resol  Asuntos'!D9/NºAsuntos!G9)-Datos!BF9)/Datos!BF9," - ")</f>
        <v>0.2672657252888318</v>
      </c>
      <c r="K9" s="462">
        <f>IF(ISNUMBER((((NºAsuntos!C9+NºAsuntos!E9)/NºAsuntos!G9)-Datos!BG9)/Datos!BG9),(((NºAsuntos!C9+NºAsuntos!E9)/NºAsuntos!G9)-Datos!BG9)/Datos!BG9," - ")</f>
        <v>-3.890416037710874E-2</v>
      </c>
    </row>
    <row r="10" spans="1:11">
      <c r="A10" s="402" t="str">
        <f>Datos!A10</f>
        <v>Jdos. Violencia contra la mujer</v>
      </c>
      <c r="B10" s="455">
        <f>IF(ISNUMBER((Datos!I10-Datos!S10)/Datos!S10),(Datos!I10-Datos!S10)/Datos!S10," - ")</f>
        <v>8.3333333333333329E-2</v>
      </c>
      <c r="C10" s="456">
        <f>IF(ISNUMBER((Datos!J10-Datos!T10)/Datos!T10),(Datos!J10-Datos!T10)/Datos!T10," - ")</f>
        <v>0</v>
      </c>
      <c r="D10" s="456">
        <f>IF(ISNUMBER((Datos!K10-Datos!U10)/Datos!U10),(Datos!K10-Datos!U10)/Datos!U10," - ")</f>
        <v>-0.5</v>
      </c>
      <c r="E10" s="456">
        <f>IF(ISNUMBER((Datos!L10-Datos!V10)/Datos!V10),(Datos!L10-Datos!V10)/Datos!V10," - ")</f>
        <v>0.4</v>
      </c>
      <c r="F10" s="456">
        <f>IF(ISNUMBER((Datos!M10-Datos!W10)/Datos!W10),(Datos!M10-Datos!W10)/Datos!W10," - ")</f>
        <v>-0.2</v>
      </c>
      <c r="G10" s="457">
        <f>IF(ISNUMBER((Datos!N10-Datos!X10)/Datos!X10),(Datos!N10-Datos!X10)/Datos!X10," - ")</f>
        <v>-0.66666666666666663</v>
      </c>
      <c r="H10" s="455">
        <f>IF(ISNUMBER(((NºAsuntos!G10/NºAsuntos!E10)-Datos!BD10)/Datos!BD10),((NºAsuntos!G10/NºAsuntos!E10)-Datos!BD10)/Datos!BD10," - ")</f>
        <v>-0.5</v>
      </c>
      <c r="I10" s="456">
        <f>IF(ISNUMBER(((NºAsuntos!I10/NºAsuntos!G10)-Datos!BE10)/Datos!BE10),((NºAsuntos!I10/NºAsuntos!G10)-Datos!BE10)/Datos!BE10," - ")</f>
        <v>1.7999999999999998</v>
      </c>
      <c r="J10" s="461">
        <f>IF(ISNUMBER((('Resol  Asuntos'!D10/NºAsuntos!G10)-Datos!BF10)/Datos!BF10),(('Resol  Asuntos'!D10/NºAsuntos!G10)-Datos!BF10)/Datos!BF10," - ")</f>
        <v>0.59999999999999987</v>
      </c>
      <c r="K10" s="462">
        <f>IF(ISNUMBER((((NºAsuntos!C10+NºAsuntos!E10)/NºAsuntos!G10)-Datos!BG10)/Datos!BG10),(((NºAsuntos!C10+NºAsuntos!E10)/NºAsuntos!G10)-Datos!BG10)/Datos!BG10," - ")</f>
        <v>1.1250000000000002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-0.84363636363636363</v>
      </c>
      <c r="C12" s="456">
        <f>IF(ISNUMBER(
   IF(J_V="SI",(Datos!J12-Datos!T12)/Datos!T12,(Datos!J12+Datos!Z12-(Datos!T12+Datos!AH12))/(Datos!T12+Datos!AH12))
     ),IF(J_V="SI",(Datos!J12-Datos!T12)/Datos!T12,(Datos!J12+Datos!Z12-(Datos!T12+Datos!AH12))/(Datos!T12+Datos!AH12))," - ")</f>
        <v>-0.13333333333333333</v>
      </c>
      <c r="D12" s="456">
        <f>IF(ISNUMBER(
   IF(J_V="SI",(Datos!K12-Datos!U12)/Datos!U12,(Datos!K12+Datos!AA12-(Datos!U12+Datos!AI12))/(Datos!U12+Datos!AI12))
     ),IF(J_V="SI",(Datos!K12-Datos!U12)/Datos!U12,(Datos!K12+Datos!AA12-(Datos!U12+Datos!AI12))/(Datos!U12+Datos!AI12))," - ")</f>
        <v>-0.87394957983193278</v>
      </c>
      <c r="E12" s="456">
        <f>IF(ISNUMBER(
   IF(J_V="SI",(Datos!L12-Datos!V12)/Datos!V12,(Datos!L12+Datos!AB12-(Datos!V12+Datos!AJ12))/(Datos!V12+Datos!AJ12))
     ),IF(J_V="SI",(Datos!L12-Datos!V12)/Datos!V12,(Datos!L12+Datos!AB12-(Datos!V12+Datos!AJ12))/(Datos!V12+Datos!AJ12))," - ")</f>
        <v>-0.75882352941176467</v>
      </c>
      <c r="F12" s="456">
        <f>IF(ISNUMBER((Datos!M12-Datos!W12)/Datos!W12),(Datos!M12-Datos!W12)/Datos!W12," - ")</f>
        <v>-1</v>
      </c>
      <c r="G12" s="457">
        <f>IF(ISNUMBER((Datos!N12-Datos!X12)/Datos!X12),(Datos!N12-Datos!X12)/Datos!X12," - ")</f>
        <v>-0.80645161290322576</v>
      </c>
      <c r="H12" s="455">
        <f>IF(ISNUMBER(((NºAsuntos!G12/NºAsuntos!E12)-Datos!BD12)/Datos!BD12),((NºAsuntos!G12/NºAsuntos!E12)-Datos!BD12)/Datos!BD12," - ")</f>
        <v>-0.85455720749838404</v>
      </c>
      <c r="I12" s="456">
        <f>IF(ISNUMBER(((NºAsuntos!I12/NºAsuntos!G12)-Datos!BE12)/Datos!BE12),((NºAsuntos!I12/NºAsuntos!G12)-Datos!BE12)/Datos!BE12," - ")</f>
        <v>0.91333333333333333</v>
      </c>
      <c r="J12" s="461">
        <f>IF(ISNUMBER((('Resol  Asuntos'!D12/NºAsuntos!G12)-Datos!BF12)/Datos!BF12),(('Resol  Asuntos'!D12/NºAsuntos!G12)-Datos!BF12)/Datos!BF12," - ")</f>
        <v>-1</v>
      </c>
      <c r="K12" s="462">
        <f>IF(ISNUMBER((((NºAsuntos!C12+NºAsuntos!E12)/NºAsuntos!G12)-Datos!BG12)/Datos!BG12),(((NºAsuntos!C12+NºAsuntos!E12)/NºAsuntos!G12)-Datos!BG12)/Datos!BG12," - ")</f>
        <v>0.53195402298850591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0.37131198995605774</v>
      </c>
      <c r="C13" s="855">
        <f>IF(ISNUMBER(
   IF(J_V="SI",(Datos!J13-Datos!T13)/Datos!T13,(Datos!J13+Datos!Z13-(Datos!T13+Datos!AH13))/(Datos!T13+Datos!AH13))
     ),IF(J_V="SI",(Datos!J13-Datos!T13)/Datos!T13,(Datos!J13+Datos!Z13-(Datos!T13+Datos!AH13))/(Datos!T13+Datos!AH13))," - ")</f>
        <v>-7.9264790350373343E-2</v>
      </c>
      <c r="D13" s="855">
        <f>IF(ISNUMBER(
   IF(J_V="SI",(Datos!K13-Datos!U13)/Datos!U13,(Datos!K13+Datos!AA13-(Datos!U13+Datos!AI13))/(Datos!U13+Datos!AI13))
     ),IF(J_V="SI",(Datos!K13-Datos!U13)/Datos!U13,(Datos!K13+Datos!AA13-(Datos!U13+Datos!AI13))/(Datos!U13+Datos!AI13))," - ")</f>
        <v>0.21684981684981686</v>
      </c>
      <c r="E13" s="855">
        <f>IF(ISNUMBER(
   IF(J_V="SI",(Datos!L13-Datos!V13)/Datos!V13,(Datos!L13+Datos!AB13-(Datos!V13+Datos!AJ13))/(Datos!V13+Datos!AJ13))
     ),IF(J_V="SI",(Datos!L13-Datos!V13)/Datos!V13,(Datos!L13+Datos!AB13-(Datos!V13+Datos!AJ13))/(Datos!V13+Datos!AJ13))," - ")</f>
        <v>0.21061499578770007</v>
      </c>
      <c r="F13" s="856">
        <f>IF(ISNUMBER((Datos!M13-Datos!W13)/Datos!W13),(Datos!M13-Datos!W13)/Datos!W13," - ")</f>
        <v>1.165137614678899</v>
      </c>
      <c r="G13" s="857">
        <f>IF(ISNUMBER((Datos!N13-Datos!X13)/Datos!X13),(Datos!N13-Datos!X13)/Datos!X13," - ")</f>
        <v>4.8672566371681415E-2</v>
      </c>
      <c r="H13" s="857">
        <f>IF(ISNUMBER(((NºAsuntos!G13/NºAsuntos!E13)-Datos!BD13)/Datos!BD13),((NºAsuntos!G13/NºAsuntos!E13)-Datos!BD13)/Datos!BD13," - ")</f>
        <v>0.32160669440769252</v>
      </c>
      <c r="I13" s="857">
        <f>IF(ISNUMBER(((NºAsuntos!I13/NºAsuntos!G13)-Datos!BE13)/Datos!BE13),((NºAsuntos!I13/NºAsuntos!G13)-Datos!BE13)/Datos!BE13," - ")</f>
        <v>-5.1237391630278729E-3</v>
      </c>
      <c r="J13" s="857">
        <f>IF(ISNUMBER((('Resol  Asuntos'!D13/NºAsuntos!G13)-Datos!BF13)/Datos!BF13),(('Resol  Asuntos'!D13/NºAsuntos!G13)-Datos!BF13)/Datos!BF13," - ")</f>
        <v>0.28156436730699369</v>
      </c>
      <c r="K13" s="857">
        <f>IF(ISNUMBER((((NºAsuntos!C13+NºAsuntos!E13)/NºAsuntos!G13)-Datos!BG13)/Datos!BG13),(((NºAsuntos!C13+NºAsuntos!E13)/NºAsuntos!G13)-Datos!BG13)/Datos!BG13," - ")</f>
        <v>-3.9061569229840174E-3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0.43507972665148065</v>
      </c>
      <c r="C15" s="456">
        <f>IF(ISNUMBER(
   IF(D_I="SI",(Datos!J15-Datos!T15)/Datos!T15,(Datos!J15+Datos!AD15-(Datos!T15+Datos!AL15))/(Datos!T15+Datos!AL15))
     ),IF(D_I="SI",(Datos!J15-Datos!T15)/Datos!T15,(Datos!J15+Datos!AD15-(Datos!T15+Datos!AL15))/(Datos!T15+Datos!AL15))," - ")</f>
        <v>0.10228108903605593</v>
      </c>
      <c r="D15" s="456">
        <f>IF(ISNUMBER(
   IF(D_I="SI",(Datos!K15-Datos!U15)/Datos!U15,(Datos!K15+Datos!AE15-(Datos!U15+Datos!AM15))/(Datos!U15+Datos!AM15))
     ),IF(D_I="SI",(Datos!K15-Datos!U15)/Datos!U15,(Datos!K15+Datos!AE15-(Datos!U15+Datos!AM15))/(Datos!U15+Datos!AM15))," - ")</f>
        <v>0.25865384615384618</v>
      </c>
      <c r="E15" s="456">
        <f>IF(ISNUMBER(
   IF(D_I="SI",(Datos!L15-Datos!V15)/Datos!V15,(Datos!L15+Datos!AF15-(Datos!V15+Datos!AN15))/(Datos!V15+Datos!AN15))
     ),IF(D_I="SI",(Datos!L15-Datos!V15)/Datos!V15,(Datos!L15+Datos!AF15-(Datos!V15+Datos!AN15))/(Datos!V15+Datos!AN15))," - ")</f>
        <v>0.24313022700119474</v>
      </c>
      <c r="F15" s="456">
        <f>IF(ISNUMBER((Datos!M15-Datos!W15)/Datos!W15),(Datos!M15-Datos!W15)/Datos!W15," - ")</f>
        <v>0</v>
      </c>
      <c r="G15" s="457">
        <f>IF(ISNUMBER((Datos!N15-Datos!X15)/Datos!X15),(Datos!N15-Datos!X15)/Datos!X15," - ")</f>
        <v>0.13985148514851486</v>
      </c>
      <c r="H15" s="455">
        <f>IF(ISNUMBER(((NºAsuntos!G15/NºAsuntos!E15)-Datos!BD15)/Datos!BD15),((NºAsuntos!G15/NºAsuntos!E15)-Datos!BD15)/Datos!BD15," - ")</f>
        <v>0.14186286843997131</v>
      </c>
      <c r="I15" s="456">
        <f>IF(ISNUMBER(((NºAsuntos!I15/NºAsuntos!G15)-Datos!BE15)/Datos!BE15),((NºAsuntos!I15/NºAsuntos!G15)-Datos!BE15)/Datos!BE15," - ")</f>
        <v>-1.2333509487209645E-2</v>
      </c>
      <c r="J15" s="461">
        <f>IF(ISNUMBER((('Resol  Asuntos'!D15/NºAsuntos!G15)-Datos!BF15)/Datos!BF15),(('Resol  Asuntos'!D15/NºAsuntos!G15)-Datos!BF15)/Datos!BF15," - ")</f>
        <v>-0.2055003819709702</v>
      </c>
      <c r="K15" s="462">
        <f>IF(ISNUMBER((((NºAsuntos!C15+NºAsuntos!E15)/NºAsuntos!G15)-Datos!BG15)/Datos!BG15),(((NºAsuntos!C15+NºAsuntos!E15)/NºAsuntos!G15)-Datos!BG15)/Datos!BG15," - ")</f>
        <v>5.8911456959465187E-3</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-0.5091324200913242</v>
      </c>
      <c r="C16" s="456">
        <f>IF(ISNUMBER(
   IF(D_I="SI",(Datos!J16-Datos!T16)/Datos!T16,(Datos!J16+Datos!AD16-(Datos!T16+Datos!AL16))/(Datos!T16+Datos!AL16))
     ),IF(D_I="SI",(Datos!J16-Datos!T16)/Datos!T16,(Datos!J16+Datos!AD16-(Datos!T16+Datos!AL16))/(Datos!T16+Datos!AL16))," - ")</f>
        <v>-0.91489361702127658</v>
      </c>
      <c r="D16" s="456">
        <f>IF(ISNUMBER(
   IF(D_I="SI",(Datos!K16-Datos!U16)/Datos!U16,(Datos!K16+Datos!AE16-(Datos!U16+Datos!AM16))/(Datos!U16+Datos!AM16))
     ),IF(D_I="SI",(Datos!K16-Datos!U16)/Datos!U16,(Datos!K16+Datos!AE16-(Datos!U16+Datos!AM16))/(Datos!U16+Datos!AM16))," - ")</f>
        <v>-0.53097345132743368</v>
      </c>
      <c r="E16" s="456">
        <f>IF(ISNUMBER(
   IF(D_I="SI",(Datos!L16-Datos!V16)/Datos!V16,(Datos!L16+Datos!AF16-(Datos!V16+Datos!AN16))/(Datos!V16+Datos!AN16))
     ),IF(D_I="SI",(Datos!L16-Datos!V16)/Datos!V16,(Datos!L16+Datos!AF16-(Datos!V16+Datos!AN16))/(Datos!V16+Datos!AN16))," - ")</f>
        <v>-0.54032258064516125</v>
      </c>
      <c r="F16" s="456">
        <f>IF(ISNUMBER((Datos!M16-Datos!W16)/Datos!W16),(Datos!M16-Datos!W16)/Datos!W16," - ")</f>
        <v>-1</v>
      </c>
      <c r="G16" s="457">
        <f>IF(ISNUMBER((Datos!N16-Datos!X16)/Datos!X16),(Datos!N16-Datos!X16)/Datos!X16," - ")</f>
        <v>-0.48</v>
      </c>
      <c r="H16" s="455">
        <f>IF(ISNUMBER(((NºAsuntos!G16/NºAsuntos!E16)-Datos!BD16)/Datos!BD16),((NºAsuntos!G16/NºAsuntos!E16)-Datos!BD16)/Datos!BD16," - ")</f>
        <v>4.5110619469026547</v>
      </c>
      <c r="I16" s="456">
        <f>IF(ISNUMBER(((NºAsuntos!I16/NºAsuntos!G16)-Datos!BE16)/Datos!BE16),((NºAsuntos!I16/NºAsuntos!G16)-Datos!BE16)/Datos!BE16," - ")</f>
        <v>-1.9933049300060818E-2</v>
      </c>
      <c r="J16" s="461">
        <f>IF(ISNUMBER((('Resol  Asuntos'!D16/NºAsuntos!G16)-Datos!BF16)/Datos!BF16),(('Resol  Asuntos'!D16/NºAsuntos!G16)-Datos!BF16)/Datos!BF16," - ")</f>
        <v>-1</v>
      </c>
      <c r="K16" s="462">
        <f>IF(ISNUMBER((((NºAsuntos!C16+NºAsuntos!E16)/NºAsuntos!G16)-Datos!BG16)/Datos!BG16),(((NºAsuntos!C16+NºAsuntos!E16)/NºAsuntos!G16)-Datos!BG16)/Datos!BG16," - ")</f>
        <v>-3.7269013810542706E-2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0.43790849673202614</v>
      </c>
      <c r="C17" s="456">
        <f>IF(ISNUMBER(
   IF(D_I="SI",(Datos!J17-Datos!T17)/Datos!T17,(Datos!J17+Datos!AD17-(Datos!T17+Datos!AL17))/(Datos!T17+Datos!AL17))
     ),IF(D_I="SI",(Datos!J17-Datos!T17)/Datos!T17,(Datos!J17+Datos!AD17-(Datos!T17+Datos!AL17))/(Datos!T17+Datos!AL17))," - ")</f>
        <v>0.34042553191489361</v>
      </c>
      <c r="D17" s="456">
        <f>IF(ISNUMBER(
   IF(D_I="SI",(Datos!K17-Datos!U17)/Datos!U17,(Datos!K17+Datos!AE17-(Datos!U17+Datos!AM17))/(Datos!U17+Datos!AM17))
     ),IF(D_I="SI",(Datos!K17-Datos!U17)/Datos!U17,(Datos!K17+Datos!AE17-(Datos!U17+Datos!AM17))/(Datos!U17+Datos!AM17))," - ")</f>
        <v>1.2641509433962264</v>
      </c>
      <c r="E17" s="456">
        <f>IF(ISNUMBER(
   IF(D_I="SI",(Datos!L17-Datos!V17)/Datos!V17,(Datos!L17+Datos!AF17-(Datos!V17+Datos!AN17))/(Datos!V17+Datos!AN17))
     ),IF(D_I="SI",(Datos!L17-Datos!V17)/Datos!V17,(Datos!L17+Datos!AF17-(Datos!V17+Datos!AN17))/(Datos!V17+Datos!AN17))," - ")</f>
        <v>0.16494845360824742</v>
      </c>
      <c r="F17" s="456">
        <f>IF(ISNUMBER((Datos!M17-Datos!W17)/Datos!W17),(Datos!M17-Datos!W17)/Datos!W17," - ")</f>
        <v>-0.42857142857142855</v>
      </c>
      <c r="G17" s="457">
        <f>IF(ISNUMBER((Datos!N17-Datos!X17)/Datos!X17),(Datos!N17-Datos!X17)/Datos!X17," - ")</f>
        <v>-4.6875E-2</v>
      </c>
      <c r="H17" s="455">
        <f>IF(ISNUMBER(((NºAsuntos!G17/NºAsuntos!E17)-Datos!BD17)/Datos!BD17),((NºAsuntos!G17/NºAsuntos!E17)-Datos!BD17)/Datos!BD17," - ")</f>
        <v>0.68912848158131168</v>
      </c>
      <c r="I17" s="456">
        <f>IF(ISNUMBER(((NºAsuntos!I17/NºAsuntos!G17)-Datos!BE17)/Datos!BE17),((NºAsuntos!I17/NºAsuntos!G17)-Datos!BE17)/Datos!BE17," - ")</f>
        <v>-0.48548109965635738</v>
      </c>
      <c r="J17" s="461">
        <f>IF(ISNUMBER((('Resol  Asuntos'!D17/NºAsuntos!G17)-Datos!BF17)/Datos!BF17),(('Resol  Asuntos'!D17/NºAsuntos!G17)-Datos!BF17)/Datos!BF17," - ")</f>
        <v>-0.74761904761904763</v>
      </c>
      <c r="K17" s="462">
        <f>IF(ISNUMBER((((NºAsuntos!C17+NºAsuntos!E17)/NºAsuntos!G17)-Datos!BG17)/Datos!BG17),(((NºAsuntos!C17+NºAsuntos!E17)/NºAsuntos!G17)-Datos!BG17)/Datos!BG17," - ")</f>
        <v>-0.38130904183535758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0.21855345911949686</v>
      </c>
      <c r="C18" s="855">
        <f>IF(ISNUMBER(
   IF(Criterios!B14="SI",(Datos!J18-Datos!T18)/Datos!T18,(Datos!J18+Datos!AD18-(Datos!T18+Datos!AL18))/(Datos!T18+Datos!AL18))
     ),IF(Criterios!B14="SI",(Datos!J18-Datos!T18)/Datos!T18,(Datos!J18+Datos!AD18-(Datos!T18+Datos!AL18))/(Datos!T18+Datos!AL18))," - ")</f>
        <v>8.533333333333333E-2</v>
      </c>
      <c r="D18" s="855">
        <f>IF(ISNUMBER(
   IF(Criterios!B14="SI",(Datos!K18-Datos!U18)/Datos!U18,(Datos!K18+Datos!AE18-(Datos!U18+Datos!AM18))/(Datos!U18+Datos!AM18))
     ),IF(Criterios!B14="SI",(Datos!K18-Datos!U18)/Datos!U18,(Datos!K18+Datos!AE18-(Datos!U18+Datos!AM18))/(Datos!U18+Datos!AM18))," - ")</f>
        <v>0.22885572139303484</v>
      </c>
      <c r="E18" s="855">
        <f>IF(ISNUMBER(
   IF(Criterios!B14="SI",(Datos!L18-Datos!V18)/Datos!V18,(Datos!L18+Datos!AF18-(Datos!V18+Datos!AN18))/(Datos!V18+Datos!AN18))
     ),IF(Criterios!B14="SI",(Datos!L18-Datos!V18)/Datos!V18,(Datos!L18+Datos!AF18-(Datos!V18+Datos!AN18))/(Datos!V18+Datos!AN18))," - ")</f>
        <v>0.10625</v>
      </c>
      <c r="F18" s="856">
        <f>IF(ISNUMBER((Datos!M18-Datos!W18)/Datos!W18),(Datos!M18-Datos!W18)/Datos!W18," - ")</f>
        <v>-0.22480620155038761</v>
      </c>
      <c r="G18" s="857">
        <f>IF(ISNUMBER((Datos!N18-Datos!X18)/Datos!X18),(Datos!N18-Datos!X18)/Datos!X18," - ")</f>
        <v>0.10925306577480491</v>
      </c>
      <c r="H18" s="857">
        <f>IF(ISNUMBER(((NºAsuntos!G18/NºAsuntos!E18)-Datos!BD18)/Datos!BD18),((NºAsuntos!G18/NºAsuntos!E18)-Datos!BD18)/Datos!BD18," - ")</f>
        <v>0.13223807253657993</v>
      </c>
      <c r="I18" s="857">
        <f>IF(ISNUMBER(((NºAsuntos!I18/NºAsuntos!G18)-Datos!BE18)/Datos!BE18),((NºAsuntos!I18/NºAsuntos!G18)-Datos!BE18)/Datos!BE18," - ")</f>
        <v>-9.9772267206477777E-2</v>
      </c>
      <c r="J18" s="857">
        <f>IF(ISNUMBER((('Resol  Asuntos'!D18/NºAsuntos!G18)-Datos!BF18)/Datos!BF18),(('Resol  Asuntos'!D18/NºAsuntos!G18)-Datos!BF18)/Datos!BF18," - ")</f>
        <v>-0.36917427737501179</v>
      </c>
      <c r="K18" s="857">
        <f>IF(ISNUMBER((((NºAsuntos!C18+NºAsuntos!E18)/NºAsuntos!G18)-Datos!BG18)/Datos!BG18),(((NºAsuntos!C18+NºAsuntos!E18)/NºAsuntos!G18)-Datos!BG18)/Datos!BG18," - ")</f>
        <v>-5.6099247305696605E-2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0.31409501374165683</v>
      </c>
      <c r="C19" s="802">
        <f>IF(ISNUMBER(
   IF(J_V="SI",(Datos!J19-Datos!T19)/Datos!T19,(Datos!J19+Datos!Z19-(Datos!T19+Datos!AH19))/(Datos!T19+Datos!AH19))
     ),IF(J_V="SI",(Datos!J19-Datos!T19)/Datos!T19,(Datos!J19+Datos!Z19-(Datos!T19+Datos!AH19))/(Datos!T19+Datos!AH19))," - ")</f>
        <v>-3.0854674483184203E-3</v>
      </c>
      <c r="D19" s="802">
        <f>IF(ISNUMBER(
   IF(J_V="SI",(Datos!K19-Datos!U19)/Datos!U19,(Datos!K19+Datos!AA19-(Datos!U19+Datos!AI19))/(Datos!U19+Datos!AI19))
     ),IF(J_V="SI",(Datos!K19-Datos!U19)/Datos!U19,(Datos!K19+Datos!AA19-(Datos!U19+Datos!AI19))/(Datos!U19+Datos!AI19))," - ")</f>
        <v>0.22248152469856086</v>
      </c>
      <c r="E19" s="802">
        <f>IF(ISNUMBER(
   IF(J_V="SI",(Datos!L19-Datos!V19)/Datos!V19,(Datos!L19+Datos!AB19-(Datos!V19+Datos!AJ19))/(Datos!V19+Datos!AJ19))
     ),IF(J_V="SI",(Datos!L19-Datos!V19)/Datos!V19,(Datos!L19+Datos!AB19-(Datos!V19+Datos!AJ19))/(Datos!V19+Datos!AJ19))," - ")</f>
        <v>0.17031546285123256</v>
      </c>
      <c r="F19" s="803">
        <f>IF(ISNUMBER((Datos!M19-Datos!W19)/Datos!W19),(Datos!M19-Datos!W19)/Datos!W19," - ")</f>
        <v>0.77192982456140347</v>
      </c>
      <c r="G19" s="804">
        <f>IF(ISNUMBER((Datos!N19-Datos!X19)/Datos!X19),(Datos!N19-Datos!X19)/Datos!X19," - ")</f>
        <v>8.8954781319495926E-2</v>
      </c>
      <c r="H19" s="805">
        <f>IF(ISNUMBER((Tasas!B19-Datos!BD19)/Datos!BD19),(Tasas!B19-Datos!BD19)/Datos!BD19," - ")</f>
        <v>0.22626512582730912</v>
      </c>
      <c r="I19" s="806">
        <f>IF(ISNUMBER((Tasas!C19-Datos!BE19)/Datos!BE19),(Tasas!C19-Datos!BE19)/Datos!BE19," - ")</f>
        <v>-4.267227012710182E-2</v>
      </c>
      <c r="J19" s="807">
        <f>IF(ISNUMBER((Tasas!D19-Datos!BF19)/Datos!BF19),(Tasas!D19-Datos!BF19)/Datos!BF19," - ")</f>
        <v>0.13370614761546395</v>
      </c>
      <c r="K19" s="807">
        <f>IF(ISNUMBER((Tasas!E19-Datos!BG19)/Datos!BG19),(Tasas!E19-Datos!BG19)/Datos!BG19," - ")</f>
        <v>-2.5946958238005545E-2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4hnuapGVbqH7/UJwW5l5F4V5DBQQb3cNEVHX0is0YyMXx/UvoZsNy4cMxcSwJ4sL7Av7SF7wSHX0JU8GXeljA==" saltValue="gXx6K+WihmyJEI4AeuNQ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PONFERRADA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1.0366624525916561</v>
      </c>
      <c r="C9" s="443">
        <f>IF(ISNUMBER(NºAsuntos!I9/NºAsuntos!G9),NºAsuntos!I9/NºAsuntos!G9," - ")</f>
        <v>2.5865853658536584</v>
      </c>
      <c r="D9" s="444">
        <f>IF(ISNUMBER('Resol  Asuntos'!D9/NºAsuntos!G9),'Resol  Asuntos'!D9/NºAsuntos!G9," - ")</f>
        <v>0.42926829268292682</v>
      </c>
      <c r="E9" s="445">
        <f>IF(ISNUMBER((NºAsuntos!C9+NºAsuntos!E9)/NºAsuntos!G9),(NºAsuntos!C9+NºAsuntos!E9)/NºAsuntos!G9," - ")</f>
        <v>3.5865853658536584</v>
      </c>
      <c r="G9" s="463"/>
    </row>
    <row r="10" spans="1:7">
      <c r="A10" s="402" t="str">
        <f>Datos!A10</f>
        <v>Jdos. Violencia contra la mujer</v>
      </c>
      <c r="B10" s="442">
        <f>IF(ISNUMBER(NºAsuntos!G10/NºAsuntos!E10),NºAsuntos!G10/NºAsuntos!E10," - ")</f>
        <v>0.75</v>
      </c>
      <c r="C10" s="443">
        <f>IF(ISNUMBER(NºAsuntos!I10/NºAsuntos!G10),NºAsuntos!I10/NºAsuntos!G10," - ")</f>
        <v>4.666666666666667</v>
      </c>
      <c r="D10" s="444">
        <f>IF(ISNUMBER('Resol  Asuntos'!D10/NºAsuntos!G10),'Resol  Asuntos'!D10/NºAsuntos!G10," - ")</f>
        <v>0.66666666666666663</v>
      </c>
      <c r="E10" s="445">
        <f>IF(ISNUMBER((NºAsuntos!C10+NºAsuntos!E10)/NºAsuntos!G10),(NºAsuntos!C10+NºAsuntos!E10)/NºAsuntos!G10," - ")</f>
        <v>5.666666666666667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1.1538461538461537</v>
      </c>
      <c r="C12" s="443">
        <f>IF(ISNUMBER(NºAsuntos!I12/NºAsuntos!G12),NºAsuntos!I12/NºAsuntos!G12," - ")</f>
        <v>2.7333333333333334</v>
      </c>
      <c r="D12" s="444">
        <f>IF(ISNUMBER('Resol  Asuntos'!D12/NºAsuntos!G12),'Resol  Asuntos'!D12/NºAsuntos!G12," - ")</f>
        <v>0</v>
      </c>
      <c r="E12" s="445">
        <f>IF(ISNUMBER((NºAsuntos!C12+NºAsuntos!E12)/NºAsuntos!G12),(NºAsuntos!C12+NºAsuntos!E12)/NºAsuntos!G12," - ")</f>
        <v>3.7333333333333334</v>
      </c>
      <c r="G12" s="463"/>
    </row>
    <row r="13" spans="1:7" ht="14.25" thickTop="1" thickBot="1">
      <c r="A13" s="848" t="str">
        <f>Datos!A13</f>
        <v>TOTAL</v>
      </c>
      <c r="B13" s="858">
        <f>IF(ISNUMBER(NºAsuntos!G13/NºAsuntos!E13),NºAsuntos!G13/NºAsuntos!E13," - ")</f>
        <v>1.0361821584529007</v>
      </c>
      <c r="C13" s="859">
        <f>IF(ISNUMBER(NºAsuntos!I13/NºAsuntos!G13),NºAsuntos!I13/NºAsuntos!G13," - ")</f>
        <v>2.5954244431065625</v>
      </c>
      <c r="D13" s="860">
        <f>IF(ISNUMBER('Resol  Asuntos'!D13/NºAsuntos!G13),'Resol  Asuntos'!D13/NºAsuntos!G13," - ")</f>
        <v>0.42624924744130044</v>
      </c>
      <c r="E13" s="861">
        <f>IF(ISNUMBER((NºAsuntos!C13+NºAsuntos!E13)/NºAsuntos!G13),(NºAsuntos!C13+NºAsuntos!E13)/NºAsuntos!G13," - ")</f>
        <v>3.5954244431065625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0.87383177570093462</v>
      </c>
      <c r="C15" s="443">
        <f>IF(ISNUMBER(NºAsuntos!I15/NºAsuntos!G15),NºAsuntos!I15/NºAsuntos!G15," - ")</f>
        <v>1.5897631779984722</v>
      </c>
      <c r="D15" s="444">
        <f>IF(ISNUMBER('Resol  Asuntos'!D15/NºAsuntos!G15),'Resol  Asuntos'!D15/NºAsuntos!G15," - ")</f>
        <v>7.3338426279602756E-2</v>
      </c>
      <c r="E15" s="445">
        <f>IF(ISNUMBER((NºAsuntos!C15+NºAsuntos!E15)/NºAsuntos!G15),(NºAsuntos!C15+NºAsuntos!E15)/NºAsuntos!G15," - ")</f>
        <v>2.5882352941176472</v>
      </c>
      <c r="G15" s="463"/>
    </row>
    <row r="16" spans="1:7">
      <c r="A16" s="402" t="str">
        <f>Datos!A16</f>
        <v xml:space="preserve">Jdos. 1ª Instª. e Instr.                        </v>
      </c>
      <c r="B16" s="442">
        <f>IF(ISNUMBER(NºAsuntos!G16/NºAsuntos!E16),NºAsuntos!G16/NºAsuntos!E16," - ")</f>
        <v>13.25</v>
      </c>
      <c r="C16" s="443">
        <f>IF(ISNUMBER(NºAsuntos!I16/NºAsuntos!G16),NºAsuntos!I16/NºAsuntos!G16," - ")</f>
        <v>3.2264150943396226</v>
      </c>
      <c r="D16" s="444">
        <f>IF(ISNUMBER('Resol  Asuntos'!D16/NºAsuntos!G16),'Resol  Asuntos'!D16/NºAsuntos!G16," - ")</f>
        <v>0</v>
      </c>
      <c r="E16" s="445">
        <f>IF(ISNUMBER((NºAsuntos!C16+NºAsuntos!E16)/NºAsuntos!G16),(NºAsuntos!C16+NºAsuntos!E16)/NºAsuntos!G16," - ")</f>
        <v>4.132075471698113</v>
      </c>
      <c r="G16" s="463"/>
    </row>
    <row r="17" spans="1:7" ht="13.5" thickBot="1">
      <c r="A17" s="402" t="str">
        <f>Datos!A17</f>
        <v>Jdos. Violencia contra la mujer</v>
      </c>
      <c r="B17" s="442">
        <f>IF(ISNUMBER(NºAsuntos!G17/NºAsuntos!E17),NºAsuntos!G17/NºAsuntos!E17," - ")</f>
        <v>0.95238095238095233</v>
      </c>
      <c r="C17" s="443">
        <f>IF(ISNUMBER(NºAsuntos!I17/NºAsuntos!G17),NºAsuntos!I17/NºAsuntos!G17," - ")</f>
        <v>1.8833333333333333</v>
      </c>
      <c r="D17" s="444">
        <f>IF(ISNUMBER('Resol  Asuntos'!D17/NºAsuntos!G17),'Resol  Asuntos'!D17/NºAsuntos!G17," - ")</f>
        <v>3.3333333333333333E-2</v>
      </c>
      <c r="E17" s="445">
        <f>IF(ISNUMBER((NºAsuntos!C17+NºAsuntos!E17)/NºAsuntos!G17),(NºAsuntos!C17+NºAsuntos!E17)/NºAsuntos!G17," - ")</f>
        <v>2.8833333333333333</v>
      </c>
      <c r="G17" s="463"/>
    </row>
    <row r="18" spans="1:7" ht="14.25" thickTop="1" thickBot="1">
      <c r="A18" s="848" t="str">
        <f>Datos!A18</f>
        <v>TOTAL</v>
      </c>
      <c r="B18" s="858">
        <f>IF(ISNUMBER(NºAsuntos!G18/NºAsuntos!E18),NºAsuntos!G18/NºAsuntos!E18," - ")</f>
        <v>0.91031941031941033</v>
      </c>
      <c r="C18" s="859">
        <f>IF(ISNUMBER(NºAsuntos!I18/NºAsuntos!G18),NºAsuntos!I18/NºAsuntos!G18," - ")</f>
        <v>1.6720647773279351</v>
      </c>
      <c r="D18" s="862">
        <f>IF(ISNUMBER('Resol  Asuntos'!D18/NºAsuntos!G18),'Resol  Asuntos'!D18/NºAsuntos!G18," - ")</f>
        <v>6.7476383265856948E-2</v>
      </c>
      <c r="E18" s="861">
        <f>IF(ISNUMBER((NºAsuntos!C18+NºAsuntos!E18)/NºAsuntos!G18),(NºAsuntos!C18+NºAsuntos!E18)/NºAsuntos!G18," - ")</f>
        <v>2.667341430499325</v>
      </c>
      <c r="G18" s="463"/>
    </row>
    <row r="19" spans="1:7" ht="15.75" customHeight="1" thickTop="1" thickBot="1">
      <c r="A19" s="793" t="str">
        <f>Datos!A19</f>
        <v>TOTAL JURISDICCIONES</v>
      </c>
      <c r="B19" s="808">
        <f>IF(ISNUMBER(NºAsuntos!G19/NºAsuntos!E19),NºAsuntos!G19/NºAsuntos!E19," - ")</f>
        <v>0.97276385020117606</v>
      </c>
      <c r="C19" s="809">
        <f>IF(ISNUMBER(NºAsuntos!I19/NºAsuntos!G19),NºAsuntos!I19/NºAsuntos!G19," - ")</f>
        <v>2.1600381800827235</v>
      </c>
      <c r="D19" s="810">
        <f>IF(ISNUMBER('Resol  Asuntos'!D19/NºAsuntos!G19),'Resol  Asuntos'!D19/NºAsuntos!G19," - ")</f>
        <v>0.25707922367165131</v>
      </c>
      <c r="E19" s="811">
        <f>IF(ISNUMBER((NºAsuntos!C19+NºAsuntos!E19)/NºAsuntos!G19),(NºAsuntos!C19+NºAsuntos!E19)/NºAsuntos!G19," - ")</f>
        <v>3.1578110085905187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nwvguG9I0cf5OdLBxwS29EbMP8WHL/RxroPvUIhQXSuL2knocf6Yy8d58rMX3xH4LxJ1DYLHoTDHagWZRqyGA==" saltValue="VNZurwWzJIl48OGkgQbL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PONFERRADA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379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115</v>
      </c>
      <c r="Y9" s="334">
        <f>SUM(W9:X9)</f>
        <v>115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4837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704</v>
      </c>
      <c r="AJ9" s="229" t="str">
        <f>IF(ISNUMBER(Datos!BW9),Datos!BW9," - ")</f>
        <v xml:space="preserve"> - </v>
      </c>
      <c r="AK9" s="228" t="str">
        <f>IF(ISNUMBER(Datos!BX9),Datos!BX9," - ")</f>
        <v xml:space="preserve"> - </v>
      </c>
      <c r="AL9" s="243">
        <f>IF(ISNUMBER(NºAsuntos!G9/NºAsuntos!E9),NºAsuntos!G9/NºAsuntos!E9," - ")</f>
        <v>1.0366624525916561</v>
      </c>
      <c r="AM9" s="260">
        <f>IF(ISNUMBER(((NºAsuntos!I9/NºAsuntos!G9)*11)/factor_trimestre),((NºAsuntos!I9/NºAsuntos!G9)*11)/factor_trimestre," - ")</f>
        <v>5.1731707317073168</v>
      </c>
      <c r="AN9" s="244">
        <f>IF(ISNUMBER('Resol  Asuntos'!D9/NºAsuntos!G9),'Resol  Asuntos'!D9/NºAsuntos!G9," - ")</f>
        <v>0.42926829268292682</v>
      </c>
      <c r="AO9" s="245">
        <f>IF(ISNUMBER((NºAsuntos!C9+NºAsuntos!E9)/NºAsuntos!G9),(NºAsuntos!C9+NºAsuntos!E9)/NºAsuntos!G9," - ")</f>
        <v>3.5865853658536584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28</v>
      </c>
      <c r="AB10" s="334">
        <f>IF(ISNUMBER(Datos!R10),Datos!R10," - ")</f>
        <v>48</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9.3333333333333339</v>
      </c>
      <c r="AN10" s="244">
        <f>IF(ISNUMBER('Resol  Asuntos'!D10/NºAsuntos!G10),'Resol  Asuntos'!D10/NºAsuntos!G10," - ")</f>
        <v>0.66666666666666663</v>
      </c>
      <c r="AO10" s="245">
        <f>IF(ISNUMBER((NºAsuntos!C10+NºAsuntos!E10)/NºAsuntos!G10),(NºAsuntos!C10+NºAsuntos!E10)/NºAsuntos!G10," - ")</f>
        <v>5.666666666666667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f>IF(ISNUMBER(NºAsuntos!G12/NºAsuntos!E12),NºAsuntos!G12/NºAsuntos!E12," - ")</f>
        <v>1.1538461538461537</v>
      </c>
      <c r="AM12" s="260">
        <f>IF(ISNUMBER(((NºAsuntos!I12/NºAsuntos!G12)*11)/factor_trimestre),((NºAsuntos!I12/NºAsuntos!G12)*11)/factor_trimestre," - ")</f>
        <v>5.4666666666666668</v>
      </c>
      <c r="AN12" s="244">
        <f>IF(ISNUMBER('Resol  Asuntos'!D12/NºAsuntos!G12),'Resol  Asuntos'!D12/NºAsuntos!G12," - ")</f>
        <v>0</v>
      </c>
      <c r="AO12" s="245">
        <f>IF(ISNUMBER((NºAsuntos!C12+NºAsuntos!E12)/NºAsuntos!G12),(NºAsuntos!C12+NºAsuntos!E12)/NºAsuntos!G12," - ")</f>
        <v>3.7333333333333334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26</v>
      </c>
      <c r="G13" s="866">
        <f t="shared" si="3"/>
        <v>26</v>
      </c>
      <c r="H13" s="865">
        <f t="shared" si="3"/>
        <v>0</v>
      </c>
      <c r="I13" s="867">
        <f t="shared" si="3"/>
        <v>0</v>
      </c>
      <c r="J13" s="867">
        <f t="shared" si="3"/>
        <v>0</v>
      </c>
      <c r="K13" s="867">
        <f t="shared" si="3"/>
        <v>0</v>
      </c>
      <c r="L13" s="867">
        <f t="shared" si="3"/>
        <v>380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137</v>
      </c>
      <c r="Y13" s="868">
        <f t="shared" si="4"/>
        <v>143</v>
      </c>
      <c r="Z13" s="868">
        <f t="shared" si="4"/>
        <v>0</v>
      </c>
      <c r="AA13" s="868">
        <f t="shared" si="4"/>
        <v>28</v>
      </c>
      <c r="AB13" s="868">
        <f t="shared" si="4"/>
        <v>6704</v>
      </c>
      <c r="AC13" s="868">
        <f t="shared" si="4"/>
        <v>76</v>
      </c>
      <c r="AD13" s="868">
        <f t="shared" si="4"/>
        <v>0</v>
      </c>
      <c r="AE13" s="872">
        <f t="shared" si="4"/>
        <v>0</v>
      </c>
      <c r="AF13" s="865">
        <f t="shared" si="4"/>
        <v>0</v>
      </c>
      <c r="AG13" s="873">
        <f t="shared" si="4"/>
        <v>0</v>
      </c>
      <c r="AH13" s="870">
        <f t="shared" si="4"/>
        <v>0</v>
      </c>
      <c r="AI13" s="865">
        <f t="shared" si="4"/>
        <v>708</v>
      </c>
      <c r="AJ13" s="867">
        <f t="shared" si="4"/>
        <v>0</v>
      </c>
      <c r="AK13" s="870">
        <f>SUBTOTAL(9,AK9:AK12)</f>
        <v>0</v>
      </c>
      <c r="AL13" s="874">
        <f>IF(ISNUMBER(NºAsuntos!G13/NºAsuntos!E13),NºAsuntos!G13/NºAsuntos!E13," - ")</f>
        <v>1.0361821584529007</v>
      </c>
      <c r="AM13" s="874">
        <f>IF(ISNUMBER(((NºAsuntos!I13/NºAsuntos!G13)*11)/factor_trimestre),((NºAsuntos!I13/NºAsuntos!G13)*11)/factor_trimestre," - ")</f>
        <v>5.190848886213125</v>
      </c>
      <c r="AN13" s="875">
        <f>IF(ISNUMBER('Resol  Asuntos'!D13/NºAsuntos!G13),'Resol  Asuntos'!D13/NºAsuntos!G13," - ")</f>
        <v>0.42624924744130044</v>
      </c>
      <c r="AO13" s="876">
        <f>IF(ISNUMBER((NºAsuntos!C13+NºAsuntos!E13)/NºAsuntos!G13),(NºAsuntos!C13+NºAsuntos!E13)/NºAsuntos!G13," - ")</f>
        <v>3.5954244431065625</v>
      </c>
      <c r="AP13" s="877" t="str">
        <f t="shared" si="2"/>
        <v xml:space="preserve"> - </v>
      </c>
      <c r="AQ13" s="877">
        <f>IF(ISNUMBER((H13-W13+K13)/(F13)),(H13-W13+K13)/(F13)," - ")</f>
        <v>-0.23076923076923078</v>
      </c>
      <c r="AR13" s="878">
        <f>IF(ISNUMBER((Datos!P13-Datos!Q13)/(Datos!R13-Datos!P13+Datos!Q13)),(Datos!P13-Datos!Q13)/(Datos!R13-Datos!P13+Datos!Q13)," - ")</f>
        <v>3.7610277046896762E-2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1892</v>
      </c>
      <c r="G15" s="333">
        <f>IF(ISNUMBER(IF(D_I="SI",Datos!I15,Datos!I15+Datos!AC15)),IF(D_I="SI",Datos!I15,Datos!I15+Datos!AC15)," - ")</f>
        <v>1890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1309</v>
      </c>
      <c r="X15" s="226">
        <f>IF(ISNUMBER(Datos!Q15),Datos!Q15," - ")</f>
        <v>22</v>
      </c>
      <c r="Y15" s="334">
        <f>SUM(W15)</f>
        <v>1309</v>
      </c>
      <c r="Z15" s="335" t="str">
        <f>IF(ISNUMBER(Datos!CC15),Datos!CC15," - ")</f>
        <v xml:space="preserve"> - </v>
      </c>
      <c r="AA15" s="332">
        <f>IF(ISNUMBER(IF(D_I="SI",Datos!L15,Datos!L15+Datos!AF15)),IF(D_I="SI",Datos!L15,Datos!L15+Datos!AF15)," - ")</f>
        <v>2081</v>
      </c>
      <c r="AB15" s="334">
        <f>IF(ISNUMBER(Datos!R15),Datos!R15," - ")</f>
        <v>244</v>
      </c>
      <c r="AC15" s="334">
        <f t="shared" ref="AC15:AC17" si="6">IF(ISNUMBER(AA15+AB15),AA15+AB15," - ")</f>
        <v>2325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96</v>
      </c>
      <c r="AJ15" s="231" t="str">
        <f>IF(ISNUMBER(Datos!BW15),Datos!BW15," - ")</f>
        <v xml:space="preserve"> - </v>
      </c>
      <c r="AK15" s="232" t="str">
        <f>IF(ISNUMBER(Datos!BX15),Datos!BX15," - ")</f>
        <v xml:space="preserve"> - </v>
      </c>
      <c r="AL15" s="243">
        <f>IF(ISNUMBER(NºAsuntos!G15/NºAsuntos!E15),NºAsuntos!G15/NºAsuntos!E15," - ")</f>
        <v>0.87383177570093462</v>
      </c>
      <c r="AM15" s="260">
        <f>IF(ISNUMBER(((NºAsuntos!I15/NºAsuntos!G15)*11)/factor_trimestre),((NºAsuntos!I15/NºAsuntos!G15)*11)/factor_trimestre," - ")</f>
        <v>3.1795263559969444</v>
      </c>
      <c r="AN15" s="244">
        <f>IF(ISNUMBER('Resol  Asuntos'!D15/NºAsuntos!G15),'Resol  Asuntos'!D15/NºAsuntos!G15," - ")</f>
        <v>7.3338426279602756E-2</v>
      </c>
      <c r="AO15" s="245">
        <f>IF(ISNUMBER((NºAsuntos!C15+NºAsuntos!E15)/NºAsuntos!G15),(NºAsuntos!C15+NºAsuntos!E15)/NºAsuntos!G15," - ")</f>
        <v>2.5882352941176472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220</v>
      </c>
      <c r="G16" s="333">
        <f>IF(ISNUMBER(IF(D_I="SI",Datos!I16,Datos!I16+Datos!AC16)),IF(D_I="SI",Datos!I16,Datos!I16+Datos!AC16)," - ")</f>
        <v>215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v>
      </c>
      <c r="X16" s="226">
        <f>IF(ISNUMBER(Datos!Q16),Datos!Q16," - ")</f>
        <v>0</v>
      </c>
      <c r="Y16" s="334">
        <f t="shared" ref="Y16:Y17" si="7">SUM(W16:X16)</f>
        <v>53</v>
      </c>
      <c r="Z16" s="335" t="str">
        <f>IF(ISNUMBER(Datos!CC16),Datos!CC16," - ")</f>
        <v xml:space="preserve"> - </v>
      </c>
      <c r="AA16" s="332">
        <f>IF(ISNUMBER(IF(D_I="SI",Datos!L16,Datos!L16+Datos!AF16)),IF(D_I="SI",Datos!L16,Datos!L16+Datos!AF16)," - ")</f>
        <v>171</v>
      </c>
      <c r="AB16" s="334">
        <f>IF(ISNUMBER(Datos!R16),Datos!R16," - ")</f>
        <v>0</v>
      </c>
      <c r="AC16" s="334">
        <f t="shared" si="6"/>
        <v>171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f>IF(ISNUMBER(NºAsuntos!G16/NºAsuntos!E16),NºAsuntos!G16/NºAsuntos!E16," - ")</f>
        <v>13.25</v>
      </c>
      <c r="AM16" s="260">
        <f>IF(ISNUMBER(((NºAsuntos!I16/NºAsuntos!G16)*11)/factor_trimestre),((NºAsuntos!I16/NºAsuntos!G16)*11)/factor_trimestre," - ")</f>
        <v>6.4528301886792443</v>
      </c>
      <c r="AN16" s="244">
        <f>IF(ISNUMBER('Resol  Asuntos'!D16/NºAsuntos!G16),'Resol  Asuntos'!D16/NºAsuntos!G16," - ")</f>
        <v>0</v>
      </c>
      <c r="AO16" s="245">
        <f>IF(ISNUMBER((NºAsuntos!C16+NºAsuntos!E16)/NºAsuntos!G16),(NºAsuntos!C16+NºAsuntos!E16)/NºAsuntos!G16," - ")</f>
        <v>4.132075471698113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120</v>
      </c>
      <c r="X17" s="226">
        <f>IF(ISNUMBER(Datos!Q17),Datos!Q17," - ")</f>
        <v>5</v>
      </c>
      <c r="Y17" s="334">
        <f t="shared" si="7"/>
        <v>125</v>
      </c>
      <c r="Z17" s="335" t="str">
        <f>IF(ISNUMBER(Datos!CC17),Datos!CC17," - ")</f>
        <v xml:space="preserve"> - </v>
      </c>
      <c r="AA17" s="332">
        <f>IF(ISNUMBER(Datos!L17),Datos!L17,"-")</f>
        <v>226</v>
      </c>
      <c r="AB17" s="334">
        <f>IF(ISNUMBER(Datos!R17),Datos!R17," - ")</f>
        <v>6</v>
      </c>
      <c r="AC17" s="334">
        <f t="shared" si="6"/>
        <v>232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0.95238095238095233</v>
      </c>
      <c r="AM17" s="260">
        <f>IF(ISNUMBER(((NºAsuntos!I17/NºAsuntos!G17)*11)/factor_trimestre),((NºAsuntos!I17/NºAsuntos!G17)*11)/factor_trimestre," - ")</f>
        <v>3.7666666666666662</v>
      </c>
      <c r="AN17" s="244">
        <f>IF(ISNUMBER('Resol  Asuntos'!D17/NºAsuntos!G17),'Resol  Asuntos'!D17/NºAsuntos!G17," - ")</f>
        <v>3.3333333333333333E-2</v>
      </c>
      <c r="AO17" s="245">
        <f>IF(ISNUMBER((NºAsuntos!C17+NºAsuntos!E17)/NºAsuntos!G17),(NºAsuntos!C17+NºAsuntos!E17)/NºAsuntos!G17," - ")</f>
        <v>2.8833333333333333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2112</v>
      </c>
      <c r="G18" s="866">
        <f>SUBTOTAL(9,G15:G17)</f>
        <v>2325</v>
      </c>
      <c r="H18" s="865">
        <f t="shared" ref="H18:O18" si="10">SUBTOTAL(9,H14:H17)</f>
        <v>0</v>
      </c>
      <c r="I18" s="867">
        <f t="shared" si="10"/>
        <v>0</v>
      </c>
      <c r="J18" s="867">
        <f t="shared" si="10"/>
        <v>0</v>
      </c>
      <c r="K18" s="867">
        <f t="shared" si="10"/>
        <v>0</v>
      </c>
      <c r="L18" s="867">
        <f t="shared" si="10"/>
        <v>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1482</v>
      </c>
      <c r="X18" s="867">
        <f t="shared" si="11"/>
        <v>27</v>
      </c>
      <c r="Y18" s="868">
        <f t="shared" si="11"/>
        <v>1487</v>
      </c>
      <c r="Z18" s="868">
        <f t="shared" si="11"/>
        <v>0</v>
      </c>
      <c r="AA18" s="868">
        <f t="shared" si="11"/>
        <v>2478</v>
      </c>
      <c r="AB18" s="868">
        <f t="shared" si="11"/>
        <v>250</v>
      </c>
      <c r="AC18" s="868">
        <f t="shared" si="11"/>
        <v>2728</v>
      </c>
      <c r="AD18" s="868">
        <f t="shared" si="11"/>
        <v>0</v>
      </c>
      <c r="AE18" s="872">
        <f t="shared" si="11"/>
        <v>0</v>
      </c>
      <c r="AF18" s="865">
        <f t="shared" si="11"/>
        <v>0</v>
      </c>
      <c r="AG18" s="873">
        <f t="shared" si="11"/>
        <v>0</v>
      </c>
      <c r="AH18" s="870">
        <f t="shared" si="11"/>
        <v>0</v>
      </c>
      <c r="AI18" s="865">
        <f t="shared" si="11"/>
        <v>100</v>
      </c>
      <c r="AJ18" s="867">
        <f t="shared" si="11"/>
        <v>0</v>
      </c>
      <c r="AK18" s="870">
        <f t="shared" si="11"/>
        <v>0</v>
      </c>
      <c r="AL18" s="874">
        <f>IF(ISNUMBER(NºAsuntos!G18/NºAsuntos!E18),NºAsuntos!G18/NºAsuntos!E18," - ")</f>
        <v>0.91031941031941033</v>
      </c>
      <c r="AM18" s="874">
        <f>IF(ISNUMBER(((NºAsuntos!I18/NºAsuntos!G18)*11)/factor_trimestre),((NºAsuntos!I18/NºAsuntos!G18)*11)/factor_trimestre," - ")</f>
        <v>3.3441295546558703</v>
      </c>
      <c r="AN18" s="875">
        <f>IF(ISNUMBER('Resol  Asuntos'!D18/NºAsuntos!G18),'Resol  Asuntos'!D18/NºAsuntos!G18," - ")</f>
        <v>6.7476383265856948E-2</v>
      </c>
      <c r="AO18" s="876">
        <f>IF(ISNUMBER((NºAsuntos!C18+NºAsuntos!E18)/NºAsuntos!G18),(NºAsuntos!C18+NºAsuntos!E18)/NºAsuntos!G18," - ")</f>
        <v>2.667341430499325</v>
      </c>
      <c r="AP18" s="877" t="str">
        <f t="shared" si="2"/>
        <v xml:space="preserve"> - </v>
      </c>
      <c r="AQ18" s="877">
        <f>IF(ISNUMBER((H18-W18+K18)/(F18)),(H18-W18+K18)/(F18)," - ")</f>
        <v>-0.70170454545454541</v>
      </c>
      <c r="AR18" s="878">
        <f>IF(ISNUMBER((Datos!P18-Datos!Q18)/(Datos!R18-Datos!P18+Datos!Q18)),(Datos!P18-Datos!Q18)/(Datos!R18-Datos!P18+Datos!Q18)," - ")</f>
        <v>4.1666666666666664E-2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2138</v>
      </c>
      <c r="G19" s="821">
        <f t="shared" si="13"/>
        <v>2351</v>
      </c>
      <c r="H19" s="820">
        <f t="shared" si="13"/>
        <v>0</v>
      </c>
      <c r="I19" s="822">
        <f t="shared" si="13"/>
        <v>0</v>
      </c>
      <c r="J19" s="822">
        <f t="shared" si="13"/>
        <v>0</v>
      </c>
      <c r="K19" s="881">
        <f t="shared" si="13"/>
        <v>0</v>
      </c>
      <c r="L19" s="822">
        <f t="shared" si="13"/>
        <v>417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1488</v>
      </c>
      <c r="X19" s="821">
        <f t="shared" si="14"/>
        <v>164</v>
      </c>
      <c r="Y19" s="828">
        <f t="shared" si="14"/>
        <v>1630</v>
      </c>
      <c r="Z19" s="828">
        <f t="shared" si="14"/>
        <v>0</v>
      </c>
      <c r="AA19" s="828">
        <f t="shared" si="14"/>
        <v>2506</v>
      </c>
      <c r="AB19" s="828">
        <f t="shared" si="14"/>
        <v>6954</v>
      </c>
      <c r="AC19" s="828">
        <f t="shared" si="14"/>
        <v>2804</v>
      </c>
      <c r="AD19" s="828">
        <f t="shared" si="14"/>
        <v>0</v>
      </c>
      <c r="AE19" s="830">
        <f t="shared" si="14"/>
        <v>0</v>
      </c>
      <c r="AF19" s="831">
        <f t="shared" si="14"/>
        <v>0</v>
      </c>
      <c r="AG19" s="832">
        <f t="shared" si="14"/>
        <v>0</v>
      </c>
      <c r="AH19" s="830">
        <f t="shared" si="14"/>
        <v>0</v>
      </c>
      <c r="AI19" s="820">
        <f t="shared" si="14"/>
        <v>808</v>
      </c>
      <c r="AJ19" s="820">
        <f t="shared" si="14"/>
        <v>0</v>
      </c>
      <c r="AK19" s="830">
        <f t="shared" si="14"/>
        <v>0</v>
      </c>
      <c r="AL19" s="884">
        <f>IF(ISNUMBER(NºAsuntos!G19/NºAsuntos!E19),NºAsuntos!G19/NºAsuntos!E19," - ")</f>
        <v>0.97276385020117606</v>
      </c>
      <c r="AM19" s="885">
        <f>IF(ISNUMBER(((NºAsuntos!I19/NºAsuntos!G19)*11)/factor_trimestre),((NºAsuntos!I19/NºAsuntos!G19)*11)/factor_trimestre," - ")</f>
        <v>4.320076360165447</v>
      </c>
      <c r="AN19" s="885">
        <f>IF(ISNUMBER('Resol  Asuntos'!D19/NºAsuntos!G19),'Resol  Asuntos'!D19/NºAsuntos!G19," - ")</f>
        <v>0.25707922367165131</v>
      </c>
      <c r="AO19" s="886">
        <f>IF(ISNUMBER((NºAsuntos!C19+NºAsuntos!E19)/NºAsuntos!G19),(NºAsuntos!C19+NºAsuntos!E19)/NºAsuntos!G19," - ")</f>
        <v>3.1578110085905187</v>
      </c>
      <c r="AP19" s="887" t="str">
        <f t="shared" si="2"/>
        <v xml:space="preserve"> - </v>
      </c>
      <c r="AQ19" s="888">
        <f>IF(OR(ISNUMBER(FIND("01",Criterios!A8,1)),ISNUMBER(FIND("02",Criterios!A8,1)),ISNUMBER(FIND("03",Criterios!A8,1)),ISNUMBER(FIND("04",Criterios!A8,1))),(I19-W19+K19)/(F19-K19),(H19-W19+K19)/(F19-K19))</f>
        <v>-0.69597754911131904</v>
      </c>
      <c r="AR19" s="889">
        <f>IF(ISNUMBER((Datos!P19-Datos!Q19)/(Datos!R19-Datos!P19+Datos!Q19)),(Datos!P19-Datos!Q19)/(Datos!R19-Datos!P19+Datos!Q19)," - ")</f>
        <v>3.7755558871810174E-2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783.66666666666663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1052.7493528851014</v>
      </c>
      <c r="G21" s="253">
        <f>IF(ISNUMBER(STDEV(G8:G18)),STDEV(G8:G18),"-")</f>
        <v>1038.1619655268955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700.14141428714242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313.8917010690152</v>
      </c>
      <c r="AJ21" s="252">
        <f t="shared" si="18"/>
        <v>0</v>
      </c>
      <c r="AK21" s="254">
        <f t="shared" si="18"/>
        <v>0</v>
      </c>
      <c r="AL21" s="249">
        <f t="shared" si="18"/>
        <v>4.3472111379682534</v>
      </c>
      <c r="AM21" s="250">
        <f t="shared" si="18"/>
        <v>2.0105138480007381</v>
      </c>
      <c r="AN21" s="250">
        <f t="shared" si="18"/>
        <v>0.25683621813008989</v>
      </c>
      <c r="AO21" s="251">
        <f t="shared" si="18"/>
        <v>0.99849701049741413</v>
      </c>
      <c r="AP21" s="291" t="str">
        <f t="shared" si="18"/>
        <v>-</v>
      </c>
      <c r="AQ21" s="292">
        <f t="shared" si="18"/>
        <v>0.33300155451420671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hO1Lxf5uHzjnBoCCE4IzZ8mA9aXSkd9Avdkeo6WZs7LacMINLeRBxuur/St2wzCvOMtV4gC1qiW8FIaCeXS9A==" saltValue="1Gwhjkca4xqr9SC+ZEA4y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PONFERRADA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1.4109589041095891</v>
      </c>
      <c r="I9" s="350">
        <f>IF(ISNUMBER((Tasas!C9-Datos!BE9)/Datos!BE9),(Tasas!C9-Datos!BE9)/Datos!BE9," - ")</f>
        <v>-5.3145552814175545E-2</v>
      </c>
      <c r="J9" s="349">
        <f>IF(ISNUMBER((Tasas!D9-Datos!BF9)/Datos!BF9),(Tasas!D9-Datos!BF9)/Datos!BF9," - ")</f>
        <v>0.2672657252888318</v>
      </c>
      <c r="K9" s="351">
        <f>IF(ISNUMBER((Tasas!E9-Datos!BG9)/Datos!BG9),(Tasas!E9-Datos!BG9)/Datos!BG9," - ")</f>
        <v>-3.890416037710874E-2</v>
      </c>
      <c r="M9" t="e">
        <f>IF(Monitorios="SI",Datos!CE9,0)</f>
        <v>#REF!</v>
      </c>
      <c r="N9" t="e">
        <f>IF(Monitorios="SI",Datos!CF9,0)</f>
        <v>#REF!</v>
      </c>
      <c r="O9" t="e">
        <f>IF(Monitorios="SI",Datos!CG9,0)</f>
        <v>#REF!</v>
      </c>
      <c r="P9" t="e">
        <f>IF(Monitorios="SI",Datos!CH9,0)</f>
        <v>#REF!</v>
      </c>
      <c r="Q9">
        <f>IF(J_V="SI",0,Datos!AG9)</f>
        <v>74</v>
      </c>
      <c r="R9">
        <f>IF(J_V="SI",0,Datos!AH9)</f>
        <v>104</v>
      </c>
      <c r="S9">
        <f>IF(J_V="SI",0,Datos!AI9)</f>
        <v>109</v>
      </c>
      <c r="T9">
        <f>IF(J_V="SI",0,Datos!AJ9)</f>
        <v>69</v>
      </c>
    </row>
    <row r="10" spans="2:20" ht="14.25">
      <c r="B10" s="275" t="s">
        <v>246</v>
      </c>
      <c r="C10" s="7" t="str">
        <f>Datos!A10</f>
        <v>Jdos. Violencia contra la mujer</v>
      </c>
      <c r="D10" s="352">
        <f>IF(ISNUMBER((Datos!I10-Datos!S10)/Datos!S10),(Datos!I10-Datos!S10)/Datos!S10," - ")</f>
        <v>8.3333333333333329E-2</v>
      </c>
      <c r="E10" s="348">
        <f>IF(ISNUMBER((Datos!J10-Datos!T10)/Datos!T10),(Datos!J10-Datos!T10)/Datos!T10," - ")</f>
        <v>0</v>
      </c>
      <c r="F10" s="348">
        <f>IF(ISNUMBER((Datos!K10-Datos!U10)/Datos!U10),(Datos!K10-Datos!U10)/Datos!U10," - ")</f>
        <v>-0.5</v>
      </c>
      <c r="G10" s="349">
        <f>IF(ISNUMBER((Datos!L10-Datos!V10)/Datos!V10),(Datos!L10-Datos!V10)/Datos!V10," - ")</f>
        <v>0.4</v>
      </c>
      <c r="H10" s="230">
        <f>IF(ISNUMBER((Datos!M10-Datos!W10)/Datos!W10),(Datos!M10-Datos!W10)/Datos!W10," - ")</f>
        <v>-0.2</v>
      </c>
      <c r="I10" s="350">
        <f>IF(ISNUMBER((Tasas!C10-Datos!BE10)/Datos!BE10),(Tasas!C10-Datos!BE10)/Datos!BE10," - ")</f>
        <v>1.7999999999999998</v>
      </c>
      <c r="J10" s="349">
        <f>IF(ISNUMBER((Tasas!D10-Datos!BF10)/Datos!BF10),(Tasas!D10-Datos!BF10)/Datos!BF10," - ")</f>
        <v>0.59999999999999987</v>
      </c>
      <c r="K10" s="351">
        <f>IF(ISNUMBER((Tasas!E10-Datos!BG10)/Datos!BG10),(Tasas!E10-Datos!BG10)/Datos!BG10," - ")</f>
        <v>1.1250000000000002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v>
      </c>
      <c r="I12" s="350">
        <f>IF(ISNUMBER((Tasas!C12-Datos!BE12)/Datos!BE12),(Tasas!C12-Datos!BE12)/Datos!BE12," - ")</f>
        <v>0.91333333333333333</v>
      </c>
      <c r="J12" s="349">
        <f>IF(ISNUMBER((Tasas!D12-Datos!BF12)/Datos!BF12),(Tasas!D12-Datos!BF12)/Datos!BF12," - ")</f>
        <v>-1</v>
      </c>
      <c r="K12" s="351">
        <f>IF(ISNUMBER((Tasas!E12-Datos!BG12)/Datos!BG12),(Tasas!E12-Datos!BG12)/Datos!BG12," - ")</f>
        <v>0.53195402298850591</v>
      </c>
      <c r="M12" t="e">
        <f>IF(Monitorios="SI",Datos!CE12,0)</f>
        <v>#REF!</v>
      </c>
      <c r="N12" t="e">
        <f>IF(Monitorios="SI",Datos!CF12,0)</f>
        <v>#REF!</v>
      </c>
      <c r="O12" t="e">
        <f>IF(Monitorios="SI",Datos!CG12,0)</f>
        <v>#REF!</v>
      </c>
      <c r="P12" t="e">
        <f>IF(Monitorios="SI",Datos!CH12,0)</f>
        <v>#REF!</v>
      </c>
      <c r="Q12">
        <f>IF(J_V="SI",0,Datos!AG12)</f>
        <v>2</v>
      </c>
      <c r="R12">
        <f>IF(J_V="SI",0,Datos!AH12)</f>
        <v>2</v>
      </c>
      <c r="S12">
        <f>IF(J_V="SI",0,Datos!AI12)</f>
        <v>3</v>
      </c>
      <c r="T12">
        <f>IF(J_V="SI",0,Datos!AJ12)</f>
        <v>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1.165137614678899</v>
      </c>
      <c r="I13" s="357">
        <f>IF(ISNUMBER((Tasas!C13-Datos!BE13)/Datos!BE13),(Tasas!C13-Datos!BE13)/Datos!BE13," - ")</f>
        <v>-5.1237391630278729E-3</v>
      </c>
      <c r="J13" s="355">
        <f>IF(ISNUMBER((Tasas!D13-Datos!BF13)/Datos!BF13),(Tasas!D13-Datos!BF13)/Datos!BF13," - ")</f>
        <v>0.28156436730699369</v>
      </c>
      <c r="K13" s="358">
        <f>IF(ISNUMBER((Tasas!E13-Datos!BG13)/Datos!BG13),(Tasas!E13-Datos!BG13)/Datos!BG13," - ")</f>
        <v>-3.9061569229840174E-3</v>
      </c>
      <c r="M13" t="e">
        <f>IF(Monitorios="SI",Datos!CE13,0)</f>
        <v>#REF!</v>
      </c>
      <c r="N13" t="e">
        <f>IF(Monitorios="SI",Datos!CF13,0)</f>
        <v>#REF!</v>
      </c>
      <c r="O13" t="e">
        <f>IF(Monitorios="SI",Datos!CG13,0)</f>
        <v>#REF!</v>
      </c>
      <c r="P13" t="e">
        <f>IF(Monitorios="SI",Datos!CH13,0)</f>
        <v>#REF!</v>
      </c>
      <c r="Q13">
        <f>IF(J_V="SI",0,Datos!AG13)</f>
        <v>76</v>
      </c>
      <c r="R13">
        <f>IF(J_V="SI",0,Datos!AH13)</f>
        <v>106</v>
      </c>
      <c r="S13">
        <f>IF(J_V="SI",0,Datos!AI13)</f>
        <v>112</v>
      </c>
      <c r="T13">
        <f>IF(J_V="SI",0,Datos!AJ13)</f>
        <v>70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0.43507972665148065</v>
      </c>
      <c r="E15" s="348">
        <f>IF(ISNUMBER(
   IF(D_I="SI",(Datos!J15-Datos!T15)/Datos!T15,(Datos!J15+Datos!AD15-(Datos!T15+Datos!AL15))/(Datos!T15+Datos!AL15))
     ),IF(D_I="SI",(Datos!J15-Datos!T15)/Datos!T15,(Datos!J15+Datos!AD15-(Datos!T15+Datos!AL15))/(Datos!T15+Datos!AL15))," - ")</f>
        <v>0.10228108903605593</v>
      </c>
      <c r="F15" s="348">
        <f>IF(ISNUMBER(
   IF(D_I="SI",(Datos!K15-Datos!U15)/Datos!U15,(Datos!K15+Datos!AE15-(Datos!U15+Datos!AM15))/(Datos!U15+Datos!AM15))
     ),IF(D_I="SI",(Datos!K15-Datos!U15)/Datos!U15,(Datos!K15+Datos!AE15-(Datos!U15+Datos!AM15))/(Datos!U15+Datos!AM15))," - ")</f>
        <v>0.25865384615384618</v>
      </c>
      <c r="G15" s="349">
        <f>IF(ISNUMBER(
   IF(D_I="SI",(Datos!L15-Datos!V15)/Datos!V15,(Datos!L15+Datos!AF15-(Datos!V15+Datos!AN15))/(Datos!V15+Datos!AN15))
     ),IF(D_I="SI",(Datos!L15-Datos!V15)/Datos!V15,(Datos!L15+Datos!AF15-(Datos!V15+Datos!AN15))/(Datos!V15+Datos!AN15))," - ")</f>
        <v>0.24313022700119474</v>
      </c>
      <c r="H15" s="230">
        <f>IF(ISNUMBER((Datos!M15-Datos!W15)/Datos!W15),(Datos!M15-Datos!W15)/Datos!W15," - ")</f>
        <v>0</v>
      </c>
      <c r="I15" s="350">
        <f>IF(ISNUMBER((Tasas!C15-Datos!BE15)/Datos!BE15),(Tasas!C15-Datos!BE15)/Datos!BE15," - ")</f>
        <v>-1.2333509487209645E-2</v>
      </c>
      <c r="J15" s="349">
        <f>IF(ISNUMBER((Tasas!D15-Datos!BF15)/Datos!BF15),(Tasas!D15-Datos!BF15)/Datos!BF15," - ")</f>
        <v>-0.2055003819709702</v>
      </c>
      <c r="K15" s="351">
        <f>IF(ISNUMBER((Tasas!E15-Datos!BG15)/Datos!BG15),(Tasas!E15-Datos!BG15)/Datos!BG15," - ")</f>
        <v>5.8911456959465187E-3</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-0.5091324200913242</v>
      </c>
      <c r="E16" s="348">
        <f>IF(ISNUMBER(
   IF(D_I="SI",(Datos!J16-Datos!T16)/Datos!T16,(Datos!J16+Datos!AD16-(Datos!T16+Datos!AL16))/(Datos!T16+Datos!AL16))
     ),IF(D_I="SI",(Datos!J16-Datos!T16)/Datos!T16,(Datos!J16+Datos!AD16-(Datos!T16+Datos!AL16))/(Datos!T16+Datos!AL16))," - ")</f>
        <v>-0.91489361702127658</v>
      </c>
      <c r="F16" s="348">
        <f>IF(ISNUMBER(
   IF(D_I="SI",(Datos!K16-Datos!U16)/Datos!U16,(Datos!K16+Datos!AE16-(Datos!U16+Datos!AM16))/(Datos!U16+Datos!AM16))
     ),IF(D_I="SI",(Datos!K16-Datos!U16)/Datos!U16,(Datos!K16+Datos!AE16-(Datos!U16+Datos!AM16))/(Datos!U16+Datos!AM16))," - ")</f>
        <v>-0.53097345132743368</v>
      </c>
      <c r="G16" s="349">
        <f>IF(ISNUMBER(
   IF(D_I="SI",(Datos!L16-Datos!V16)/Datos!V16,(Datos!L16+Datos!AF16-(Datos!V16+Datos!AN16))/(Datos!V16+Datos!AN16))
     ),IF(D_I="SI",(Datos!L16-Datos!V16)/Datos!V16,(Datos!L16+Datos!AF16-(Datos!V16+Datos!AN16))/(Datos!V16+Datos!AN16))," - ")</f>
        <v>-0.54032258064516125</v>
      </c>
      <c r="H16" s="230">
        <f>IF(ISNUMBER((Datos!M16-Datos!W16)/Datos!W16),(Datos!M16-Datos!W16)/Datos!W16," - ")</f>
        <v>-1</v>
      </c>
      <c r="I16" s="350">
        <f>IF(ISNUMBER((Tasas!C16-Datos!BE16)/Datos!BE16),(Tasas!C16-Datos!BE16)/Datos!BE16," - ")</f>
        <v>-1.9933049300060818E-2</v>
      </c>
      <c r="J16" s="349">
        <f>IF(ISNUMBER((Tasas!D16-Datos!BF16)/Datos!BF16),(Tasas!D16-Datos!BF16)/Datos!BF16," - ")</f>
        <v>-1</v>
      </c>
      <c r="K16" s="351">
        <f>IF(ISNUMBER((Tasas!E16-Datos!BG16)/Datos!BG16),(Tasas!E16-Datos!BG16)/Datos!BG16," - ")</f>
        <v>-3.7269013810542706E-2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0.43790849673202614</v>
      </c>
      <c r="E17" s="348">
        <f>IF(ISNUMBER(
   IF(D_I="SI",(Datos!J17-Datos!T17)/Datos!T17,(Datos!J17+Datos!AD17-(Datos!T17+Datos!AL17))/(Datos!T17+Datos!AL17))
     ),IF(D_I="SI",(Datos!J17-Datos!T17)/Datos!T17,(Datos!J17+Datos!AD17-(Datos!T17+Datos!AL17))/(Datos!T17+Datos!AL17))," - ")</f>
        <v>0.34042553191489361</v>
      </c>
      <c r="F17" s="348">
        <f>IF(ISNUMBER(
   IF(D_I="SI",(Datos!K17-Datos!U17)/Datos!U17,(Datos!K17+Datos!AE17-(Datos!U17+Datos!AM17))/(Datos!U17+Datos!AM17))
     ),IF(D_I="SI",(Datos!K17-Datos!U17)/Datos!U17,(Datos!K17+Datos!AE17-(Datos!U17+Datos!AM17))/(Datos!U17+Datos!AM17))," - ")</f>
        <v>1.2641509433962264</v>
      </c>
      <c r="G17" s="349">
        <f>IF(ISNUMBER(
   IF(D_I="SI",(Datos!L17-Datos!V17)/Datos!V17,(Datos!L17+Datos!AF17-(Datos!V17+Datos!AN17))/(Datos!V17+Datos!AN17))
     ),IF(D_I="SI",(Datos!L17-Datos!V17)/Datos!V17,(Datos!L17+Datos!AF17-(Datos!V17+Datos!AN17))/(Datos!V17+Datos!AN17))," - ")</f>
        <v>0.16494845360824742</v>
      </c>
      <c r="H17" s="230">
        <f>IF(ISNUMBER((Datos!M17-Datos!W17)/Datos!W17),(Datos!M17-Datos!W17)/Datos!W17," - ")</f>
        <v>-0.42857142857142855</v>
      </c>
      <c r="I17" s="350">
        <f>IF(ISNUMBER((Tasas!C17-Datos!BE17)/Datos!BE17),(Tasas!C17-Datos!BE17)/Datos!BE17," - ")</f>
        <v>-0.48548109965635738</v>
      </c>
      <c r="J17" s="349">
        <f>IF(ISNUMBER((Tasas!D17-Datos!BF17)/Datos!BF17),(Tasas!D17-Datos!BF17)/Datos!BF17," - ")</f>
        <v>-0.74761904761904763</v>
      </c>
      <c r="K17" s="351">
        <f>IF(ISNUMBER((Tasas!E17-Datos!BG17)/Datos!BG17),(Tasas!E17-Datos!BG17)/Datos!BG17," - ")</f>
        <v>-0.38130904183535758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0.21855345911949686</v>
      </c>
      <c r="E18" s="354">
        <f>IF(ISNUMBER(
   IF(D_I="SI",(Datos!J18-Datos!T18)/Datos!T18,(Datos!J18+Datos!AD18-(Datos!T18+Datos!AL18))/(Datos!T18+Datos!AL18))
     ),IF(D_I="SI",(Datos!J18-Datos!T18)/Datos!T18,(Datos!J18+Datos!AD18-(Datos!T18+Datos!AL18))/(Datos!T18+Datos!AL18))," - ")</f>
        <v>8.533333333333333E-2</v>
      </c>
      <c r="F18" s="354">
        <f>IF(ISNUMBER(
   IF(D_I="SI",(Datos!K18-Datos!U18)/Datos!U18,(Datos!K18+Datos!AE18-(Datos!U18+Datos!AM18))/(Datos!U18+Datos!AM18))
     ),IF(D_I="SI",(Datos!K18-Datos!U18)/Datos!U18,(Datos!K18+Datos!AE18-(Datos!U18+Datos!AM18))/(Datos!U18+Datos!AM18))," - ")</f>
        <v>0.22885572139303484</v>
      </c>
      <c r="G18" s="355">
        <f>IF(ISNUMBER(
   IF(D_I="SI",(Datos!L18-Datos!V18)/Datos!V18,(Datos!L18+Datos!AF18-(Datos!V18+Datos!AN18))/(Datos!V18+Datos!AN18))
     ),IF(D_I="SI",(Datos!L18-Datos!V18)/Datos!V18,(Datos!L18+Datos!AF18-(Datos!V18+Datos!AN18))/(Datos!V18+Datos!AN18))," - ")</f>
        <v>0.10625</v>
      </c>
      <c r="H18" s="356">
        <f>IF(ISNUMBER((Datos!M18-Datos!W18)/Datos!W18),(Datos!M18-Datos!W18)/Datos!W18," - ")</f>
        <v>-0.22480620155038761</v>
      </c>
      <c r="I18" s="357">
        <f>IF(ISNUMBER((Tasas!C18-Datos!BE18)/Datos!BE18),(Tasas!C18-Datos!BE18)/Datos!BE18," - ")</f>
        <v>-9.9772267206477777E-2</v>
      </c>
      <c r="J18" s="355">
        <f>IF(ISNUMBER((Tasas!D18-Datos!BF18)/Datos!BF18),(Tasas!D18-Datos!BF18)/Datos!BF18," - ")</f>
        <v>-0.36917427737501179</v>
      </c>
      <c r="K18" s="358">
        <f>IF(ISNUMBER((Tasas!E18-Datos!BG18)/Datos!BG18),(Tasas!E18-Datos!BG18)/Datos!BG18," - ")</f>
        <v>-5.6099247305696605E-2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0.31409501374165683</v>
      </c>
      <c r="E19" s="363">
        <f>IF(ISNUMBER(
   IF(J_V="SI",(Datos!J19-Datos!T19)/Datos!T19,(Datos!J19+Datos!Z19-(Datos!T19+Datos!AH19))/(Datos!T19+Datos!AH19))
     ),IF(J_V="SI",(Datos!J19-Datos!T19)/Datos!T19,(Datos!J19+Datos!Z19-(Datos!T19+Datos!AH19))/(Datos!T19+Datos!AH19))," - ")</f>
        <v>-3.0854674483184203E-3</v>
      </c>
      <c r="F19" s="363">
        <f>IF(ISNUMBER(
   IF(J_V="SI",(Datos!K19-Datos!U19)/Datos!U19,(Datos!K19+Datos!AA19-(Datos!U19+Datos!AI19))/(Datos!U19+Datos!AI19))
     ),IF(J_V="SI",(Datos!K19-Datos!U19)/Datos!U19,(Datos!K19+Datos!AA19-(Datos!U19+Datos!AI19))/(Datos!U19+Datos!AI19))," - ")</f>
        <v>0.22248152469856086</v>
      </c>
      <c r="G19" s="364">
        <f>IF(ISNUMBER(
   IF(J_V="SI",(Datos!L19-Datos!V19)/Datos!V19,(Datos!L19+Datos!AB19-(Datos!V19+Datos!AJ19))/(Datos!V19+Datos!AJ19))
     ),IF(J_V="SI",(Datos!L19-Datos!V19)/Datos!V19,(Datos!L19+Datos!AB19-(Datos!V19+Datos!AJ19))/(Datos!V19+Datos!AJ19))," - ")</f>
        <v>0.17031546285123256</v>
      </c>
      <c r="H19" s="365">
        <f>IF(ISNUMBER((Datos!M19-Datos!W19)/Datos!W19),(Datos!M19-Datos!W19)/Datos!W19," - ")</f>
        <v>0.77192982456140347</v>
      </c>
      <c r="I19" s="362">
        <f>IF(ISNUMBER((Tasas!C19-Datos!BE19)/Datos!BE19),(Tasas!C19-Datos!BE19)/Datos!BE19," - ")</f>
        <v>-4.267227012710182E-2</v>
      </c>
      <c r="J19" s="363">
        <f>IF(ISNUMBER((Tasas!D19-Datos!BF19)/Datos!BF19),(Tasas!D19-Datos!BF19)/Datos!BF19," - ")</f>
        <v>0.13370614761546395</v>
      </c>
      <c r="K19" s="364">
        <f>IF(ISNUMBER((Tasas!E19-Datos!BG19)/Datos!BG19),(Tasas!E19-Datos!BG19)/Datos!BG19," - ")</f>
        <v>-2.5946958238005545E-2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0.3893396523027674</v>
      </c>
      <c r="E21" s="278">
        <f t="shared" si="1"/>
        <v>0.48495667871558035</v>
      </c>
      <c r="F21" s="278">
        <f t="shared" si="1"/>
        <v>0.73236077166058366</v>
      </c>
      <c r="G21" s="279">
        <f t="shared" si="1"/>
        <v>0.36110308110093475</v>
      </c>
      <c r="H21" s="285">
        <f t="shared" si="1"/>
        <v>0.89546088580376582</v>
      </c>
      <c r="I21" s="277">
        <f t="shared" si="1"/>
        <v>0.73720282852253838</v>
      </c>
      <c r="J21" s="278">
        <f t="shared" si="1"/>
        <v>0.61617144470700047</v>
      </c>
      <c r="K21" s="279">
        <f t="shared" si="1"/>
        <v>0.46844968948237092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mRwQRyit6TEes8T+l2SnjStPXLEq/2KVrG354aPN3fNyiKv+NpyJbhbhrAE1nqMFr9wTw3UyP7TnpPNU8R4vA==" saltValue="D7caiCU4JsOKu8sN1S8u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